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875" activeTab="2"/>
  </bookViews>
  <sheets>
    <sheet name="Město_příjmy" sheetId="1" r:id="rId1"/>
    <sheet name="Město_výdaje" sheetId="2" r:id="rId2"/>
    <sheet name="Investice" sheetId="3" r:id="rId3"/>
  </sheets>
  <definedNames/>
  <calcPr fullCalcOnLoad="1"/>
</workbook>
</file>

<file path=xl/comments2.xml><?xml version="1.0" encoding="utf-8"?>
<comments xmlns="http://schemas.openxmlformats.org/spreadsheetml/2006/main">
  <authors>
    <author>Chobotnicka</author>
  </authors>
  <commentList>
    <comment ref="F240" authorId="0">
      <text>
        <r>
          <rPr>
            <b/>
            <sz val="9"/>
            <rFont val="Tahoma"/>
            <family val="2"/>
          </rPr>
          <t>Chobotnicka:</t>
        </r>
        <r>
          <rPr>
            <sz val="9"/>
            <rFont val="Tahoma"/>
            <family val="2"/>
          </rPr>
          <t xml:space="preserve">
</t>
        </r>
      </text>
    </comment>
    <comment ref="K240" authorId="0">
      <text>
        <r>
          <rPr>
            <b/>
            <sz val="9"/>
            <rFont val="Tahoma"/>
            <family val="2"/>
          </rPr>
          <t>Chobotnicka: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<sst xmlns="http://schemas.openxmlformats.org/spreadsheetml/2006/main" count="1368" uniqueCount="521">
  <si>
    <t>Město Břeclav</t>
  </si>
  <si>
    <t>v tis. Kč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</si>
  <si>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</si>
  <si>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</si>
  <si>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</si>
  <si>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</si>
  <si>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</si>
  <si>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</si>
  <si>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</si>
  <si>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</si>
  <si>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</si>
  <si>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</si>
  <si>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</si>
  <si>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</si>
  <si>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</si>
  <si>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nákup zvuk. knih</t>
  </si>
  <si>
    <t>Ostat. neinv. přijaté transf. ze SR - Měst. knih.- zvuk. knihy  pro nevid.</t>
  </si>
  <si>
    <t xml:space="preserve">Neinvestiční přijaté transfery od obcí na žáka </t>
  </si>
  <si>
    <t>Neinvestiční přijaté dotace od krajů - (na TIC)</t>
  </si>
  <si>
    <t>Odvody příspěvkových organizací - MŠ</t>
  </si>
  <si>
    <t>Odvody příspěvkových organizací - MŠ ke krytí inv. výd.</t>
  </si>
  <si>
    <t xml:space="preserve">Příjmy z poskyt. služeb - TIC </t>
  </si>
  <si>
    <t xml:space="preserve">Příjmy z prodeje zboží - TIC </t>
  </si>
  <si>
    <t>Ostatní nedaňové příjmy jinde nezařazené-Cestovní ruch</t>
  </si>
  <si>
    <t>Ost. nedaň. příjmy - ZŠ -proveden přesun rozp. do 4121 dle smluv</t>
  </si>
  <si>
    <t>Příjmy z pronájmu ost. nemovitostí - 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</si>
  <si>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</si>
  <si>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</si>
  <si>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</si>
  <si>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</si>
  <si>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</si>
  <si>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</si>
  <si>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</si>
  <si>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</si>
  <si>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</si>
  <si>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</si>
  <si>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</si>
  <si>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</si>
  <si>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</si>
  <si>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</si>
  <si>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</si>
  <si>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</si>
  <si>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</si>
  <si>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vratky transferů - využití vol. času dětí a ml.</t>
  </si>
  <si>
    <t>Přijaté nekapitálové příspěvky - využití vol. času dětí a ml.</t>
  </si>
  <si>
    <t>Přijaté nekapitálové příspěvky a náhr. - mezinárod. spolupráce</t>
  </si>
  <si>
    <t>PŘÍJMY ORJ 10 CELKEM</t>
  </si>
  <si>
    <t xml:space="preserve">ODBOR DOTACÍ A ROZVOJE                  </t>
  </si>
  <si>
    <t>Splátky půjčených prostředků (SOM JM)</t>
  </si>
  <si>
    <t>Ostatní neinv. přij. transfery - Interreg III C - REDETRAL</t>
  </si>
  <si>
    <t>Ostatní neinv.přij. transfery - Interreg III A - ČR-Slovensko</t>
  </si>
  <si>
    <t>Neinv. přijaté transfery od krajů-Podpora zkvalitnění služeb TIC</t>
  </si>
  <si>
    <t>Neinv. přijaté transfery ze zahraničí- Interreg IIIC-REDETRAL-dopl.</t>
  </si>
  <si>
    <t>Investič. přijaté transf. ze stát. fondů-Solár. panel pro TUV-Dům šk.</t>
  </si>
  <si>
    <t>Příjmy z prodeje zboží -  TIC</t>
  </si>
  <si>
    <t>Přijaté nekapítálové příspěvky a náhrady - cestovní ruch</t>
  </si>
  <si>
    <t>Ostat. nedaňové příjmy - cestovní ruch</t>
  </si>
  <si>
    <t>Cestovní ruch-Vinařský fond - prop. brožury</t>
  </si>
  <si>
    <t>Silnice - přijaté dary na investice</t>
  </si>
  <si>
    <t>Přijaté nekapitál. příspěvky a náhrady - Mobility-rek kina Koruna</t>
  </si>
  <si>
    <t>Přijaté sankční poplatky - památková péče</t>
  </si>
  <si>
    <t>PŘÍJMY ORJ 20 CELKEM</t>
  </si>
  <si>
    <t>ODBOR VNITŘNÍCH VĚCÍ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</si>
  <si>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</si>
  <si>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</si>
  <si>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</si>
  <si>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</si>
  <si>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SR-výk. st. spr. soc.-práv.ochr.dětí</t>
  </si>
  <si>
    <t>Neinvestič. přij. transf. ze SR-výk. st. spr. -sociální služby</t>
  </si>
  <si>
    <t>Neinvestič. přij. transf. ze SR-volby do EU</t>
  </si>
  <si>
    <t>Ostat. neinv. přij. transfery ze SR a ESF - aktiv. politika zaměst.</t>
  </si>
  <si>
    <t>Neinvestič. příj. transfery od krajů</t>
  </si>
  <si>
    <t xml:space="preserve">Převody z ostatních vlastních fondů </t>
  </si>
  <si>
    <t>Investiční přijaté transfery od krajů (SDH - vozidlo)</t>
  </si>
  <si>
    <t>Přijaté pojistné náhrady -silnice</t>
  </si>
  <si>
    <t>Přijaté nekapitálové příspěvky a náhrady - silnice</t>
  </si>
  <si>
    <t>Příjmy z poskytovaných služeb -  placené parkovací zóny</t>
  </si>
  <si>
    <t>Příjmy z pronájmu movitých věcí - ost. zál. pozem. komunikací</t>
  </si>
  <si>
    <t>Ostat. nedaňové příjmy jinde nezařaz.-ost.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</si>
  <si>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</si>
  <si>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</si>
  <si>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</si>
  <si>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poskyt. služeb - inzerce (přesun na ORJ 010 OŠKMS)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</si>
  <si>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</si>
  <si>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</si>
  <si>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</si>
  <si>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</si>
  <si>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</si>
  <si>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</si>
  <si>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</si>
  <si>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</si>
  <si>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náhrady - péče o vzhled obcí</t>
  </si>
  <si>
    <t>Příjmy z pronájmu ost. nemovitostí - požární ochrana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</si>
  <si>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</si>
  <si>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</si>
  <si>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</si>
  <si>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</si>
  <si>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</si>
  <si>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</si>
  <si>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</si>
  <si>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</si>
  <si>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sankční poplatky-vnitřní správa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</si>
  <si>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</si>
  <si>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</si>
  <si>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</si>
  <si>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</si>
  <si>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</si>
  <si>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</si>
  <si>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</si>
  <si>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</si>
  <si>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</si>
  <si>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</si>
  <si>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</si>
  <si>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</si>
  <si>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 - příspěvek na živobytí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</si>
  <si>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</si>
  <si>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</si>
  <si>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</si>
  <si>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</si>
  <si>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</si>
  <si>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</si>
  <si>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</si>
  <si>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</si>
  <si>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</si>
  <si>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</si>
  <si>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</si>
  <si>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</si>
  <si>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Přijaté nekapitálové příspěvky-ost. zál. soc. věcí a politiky  zaměst.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</si>
  <si>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</si>
  <si>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</si>
  <si>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</si>
  <si>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</si>
  <si>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</si>
  <si>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</si>
  <si>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</si>
  <si>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</si>
  <si>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</si>
  <si>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</si>
  <si>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</si>
  <si>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Investiční přijaté transfery od krajů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</si>
  <si>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</si>
  <si>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</si>
  <si>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</si>
  <si>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</si>
  <si>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</si>
  <si>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</si>
  <si>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</si>
  <si>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</si>
  <si>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</si>
  <si>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</si>
  <si>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Ost. odvody z vybr. čin. a služ. j. n.</t>
  </si>
  <si>
    <t>Sankční poplatky</t>
  </si>
  <si>
    <t>Přijaté nekapitálové příspěvky jinde nezařazené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</si>
  <si>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</si>
  <si>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</si>
  <si>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</si>
  <si>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</si>
  <si>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Příjmy z prodeje drob. a krátkodob. majetku</t>
  </si>
  <si>
    <t>Prodej ostatního DHM</t>
  </si>
  <si>
    <t>PŘÍJMY ORJ 90 CELKEM</t>
  </si>
  <si>
    <t>ODBOR STAVEBNÍHO ŘÁDU A ÚP</t>
  </si>
  <si>
    <t>Ostatní inv.přijaté transfery ze SR</t>
  </si>
  <si>
    <t>Přijaté příspěvky na investice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</si>
  <si>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</si>
  <si>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</si>
  <si>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</si>
  <si>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</si>
  <si>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</si>
  <si>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</si>
  <si>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</si>
  <si>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</si>
  <si>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</si>
  <si>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</si>
  <si>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</si>
  <si>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</si>
  <si>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</si>
  <si>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</si>
  <si>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</si>
  <si>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</si>
  <si>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</si>
  <si>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</si>
  <si>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</si>
  <si>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</si>
  <si>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</si>
  <si>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</si>
  <si>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</si>
  <si>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</si>
  <si>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</si>
  <si>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</si>
  <si>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</si>
  <si>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</si>
  <si>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</si>
  <si>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</si>
  <si>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</si>
  <si>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</si>
  <si>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</si>
  <si>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</si>
  <si>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</si>
  <si>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</si>
  <si>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</si>
  <si>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</si>
  <si>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Ostatní  příjmy z vlastní činnosti - Komunál. služby a rozvoj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</si>
  <si>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</si>
  <si>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</si>
  <si>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</si>
  <si>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</si>
  <si>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</si>
  <si>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</si>
  <si>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</si>
  <si>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</si>
  <si>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</si>
  <si>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</si>
  <si>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</si>
  <si>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</si>
  <si>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</si>
  <si>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</si>
  <si>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</si>
  <si>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</si>
  <si>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</si>
  <si>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</si>
  <si>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</si>
  <si>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</si>
  <si>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</si>
  <si>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</si>
  <si>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</si>
  <si>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</si>
  <si>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</si>
  <si>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</si>
  <si>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</si>
  <si>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</si>
  <si>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</si>
  <si>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</si>
  <si>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</si>
  <si>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Město Břeclav </t>
  </si>
  <si>
    <t>čerpání</t>
  </si>
  <si>
    <t>ODBOR ŠKOLSTVÍ, KULTURY, MLÁDEŽE A SPORTU</t>
  </si>
  <si>
    <t xml:space="preserve">Cestovní ruch - TIC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</si>
  <si>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</si>
  <si>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</si>
  <si>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</si>
  <si>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</si>
  <si>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</si>
  <si>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</si>
  <si>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muzeí a galerií   (Městské muzeum) -běžný provoz     </t>
  </si>
  <si>
    <t>Městské muzeum - provoz Lichtenštejnského domu</t>
  </si>
  <si>
    <t>Městské muzeum - úprava Lichtenštejnského domu</t>
  </si>
  <si>
    <t>Městské muzeum - projekty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</si>
  <si>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</si>
  <si>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</si>
  <si>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</si>
  <si>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</si>
  <si>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Ostatní záležitosti sdělovacích prostředků - RADNICE</t>
  </si>
  <si>
    <t>Zájmová činnost v kultuře (kulturní domy)</t>
  </si>
  <si>
    <t>Záležitosti kultury (Svatováclavské slavnosti, Moravský den, ples aj.)</t>
  </si>
  <si>
    <t xml:space="preserve">Sportov.zaříz. v maj. obce - dotace krytý bazén, MSK, zázemí Olympia, </t>
  </si>
  <si>
    <t>Podpora sport.oddílů - dotace (HC Dyje, KRASO, IHC, TJ Lokomotiva)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</si>
  <si>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</si>
  <si>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</si>
  <si>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</si>
  <si>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ODBOR DOTACÍ A ROZVOJE </t>
  </si>
  <si>
    <t>Program podpory rozvoje průmyslových zón</t>
  </si>
  <si>
    <t xml:space="preserve">Cestovní ruch  (čl.příspěvek DSO LVA, veletrhy, TIC) </t>
  </si>
  <si>
    <t>Silnice - nákup služeb - projekt přechody</t>
  </si>
  <si>
    <t>Pitná voda</t>
  </si>
  <si>
    <t>Odvádění a čištění odpadních vod   (havárie)</t>
  </si>
  <si>
    <t>Zachování a obnova kulturních památek</t>
  </si>
  <si>
    <t>Územní plánování - studie</t>
  </si>
  <si>
    <t>Projekt prevence kriminality -  z ÚSC</t>
  </si>
  <si>
    <r>
      <t xml:space="preserve">Projekt prevence kriminality - bezp. stojany na jízd. kola-ze SR </t>
    </r>
    <r>
      <rPr>
        <b/>
        <sz val="12"/>
        <rFont val="Arial"/>
        <family val="2"/>
      </rPr>
      <t xml:space="preserve">      X</t>
    </r>
  </si>
  <si>
    <t>Mezinárodní spolupráce (vč.půjčky pro SOM JM)</t>
  </si>
  <si>
    <t>Projektová a manažerská příprava na vybrané investiční akce</t>
  </si>
  <si>
    <t>Manažerská projektová příprava</t>
  </si>
  <si>
    <t xml:space="preserve">Propagace LVA   </t>
  </si>
  <si>
    <t xml:space="preserve">Miniatury LVA  </t>
  </si>
  <si>
    <t>Komunikace Poštorná - Pod zahradama</t>
  </si>
  <si>
    <t xml:space="preserve">Komunikace (VAK -  Projekt Břeclavsko) </t>
  </si>
  <si>
    <t xml:space="preserve">Komunikace Slovácká </t>
  </si>
  <si>
    <t>Komunikace (U Sýpek, Chaloupky, Na zahradách) -r.09-10</t>
  </si>
  <si>
    <t>Komunikace Na Špitálce</t>
  </si>
  <si>
    <t xml:space="preserve">Pěší zóna  - centrum J.Palacha </t>
  </si>
  <si>
    <t xml:space="preserve">Rekonstrukce nám. Ch. N. Ves - ul. Lednická-Tyršův sad (vl.podíl projektu)                            </t>
  </si>
  <si>
    <t xml:space="preserve">Rekonstrukce nám. St. Břeclav (u kapličky)                                                         </t>
  </si>
  <si>
    <t>Parter Kina Koruna</t>
  </si>
  <si>
    <t>Studie přístupu k zámku od náměstí</t>
  </si>
  <si>
    <t>Podchod pro pěší a cyklisty Bratislavská</t>
  </si>
  <si>
    <t>Přestupní terminál IDS</t>
  </si>
  <si>
    <t>Přívoz- Pastvisko-přesun ORJ 080 - OSVD</t>
  </si>
  <si>
    <t xml:space="preserve">Odkanalizování ul. Obr. míru, Kapustova, Char. N. Ves                                       </t>
  </si>
  <si>
    <t>Rek. kanal. a čerp. stanice za Tranzou - havarie</t>
  </si>
  <si>
    <t xml:space="preserve">MŠ Břetislavova -zateplení a výměna oken, stav. úpravy (dot. OPŽP)                                                      </t>
  </si>
  <si>
    <t>ZŠ Slovácká- PD stav. úpr., zateplení</t>
  </si>
  <si>
    <t>ZŠ Komenského, objekt šaten (PD)</t>
  </si>
  <si>
    <t>ZŠ Ch. Nová Ves-havarie</t>
  </si>
  <si>
    <t>Zámek Břeclav - revitalizace nemovité kult. památky</t>
  </si>
  <si>
    <t>Rekonstrukce věže kostela PD-přesun do ORJ 010 OŠKMS</t>
  </si>
  <si>
    <t>Památník přátelství Poštorná-Zwentendorf</t>
  </si>
  <si>
    <t>Osvětlení památek a mostů</t>
  </si>
  <si>
    <t>Zateplení a výměna oken Domu školství</t>
  </si>
  <si>
    <t xml:space="preserve">Revitalizace sportovního areálu ZŠ Slovácká  </t>
  </si>
  <si>
    <t>Aquapark (koupaliště Břeclav)</t>
  </si>
  <si>
    <t>Zimní stadion-přest. na hotel-studie</t>
  </si>
  <si>
    <t>Zimní stadion-dostavba sever. tribuny</t>
  </si>
  <si>
    <t xml:space="preserve">Zimní stadion - odvlhčení </t>
  </si>
  <si>
    <t>Dětská hřiště Na Valtické PD</t>
  </si>
  <si>
    <t>Dětské hřiště U Splavu</t>
  </si>
  <si>
    <t>Pískoviště J. Palacha</t>
  </si>
  <si>
    <t>Veřejné osvětlení Chodská</t>
  </si>
  <si>
    <t>Veřejné osvětlení Na Řádku</t>
  </si>
  <si>
    <t>Domov seniorů  Břeclav - balkony,okna,zateplení</t>
  </si>
  <si>
    <t>Stavební úpravy MÚ Břeclav I. etapa (žádost do OPŽP)</t>
  </si>
  <si>
    <t xml:space="preserve">          z toho dotace se SR</t>
  </si>
  <si>
    <t>VÝDAJE ORJ 20 CELKEM</t>
  </si>
  <si>
    <t>Silnice</t>
  </si>
  <si>
    <t>Záležitosti pozemních komunikací</t>
  </si>
  <si>
    <t>Provoz veřejné silniční dopravy</t>
  </si>
  <si>
    <t>Záležitosti v silniční dopravě</t>
  </si>
  <si>
    <t>Místní rozhlas</t>
  </si>
  <si>
    <t>Záležitosti sdělovacích prostředků   (přesun do ORJ 010 - OŠKMS)</t>
  </si>
  <si>
    <t>Veřejné osvětlení</t>
  </si>
  <si>
    <t>Pohřebnictví</t>
  </si>
  <si>
    <t>Sběr a svoz komunálního odpadu</t>
  </si>
  <si>
    <t>Péče o vzhled obcí a veřejnou zeleň</t>
  </si>
  <si>
    <t>Požární ochrana</t>
  </si>
  <si>
    <t>Místní zastupitelské orgány</t>
  </si>
  <si>
    <t>30+31</t>
  </si>
  <si>
    <t>Činnosti místní správy</t>
  </si>
  <si>
    <t>VÝDAJE ORJ 30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</si>
  <si>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</si>
  <si>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</si>
  <si>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</si>
  <si>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</si>
  <si>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</si>
  <si>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</si>
  <si>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</si>
  <si>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</si>
  <si>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</si>
  <si>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</si>
  <si>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</si>
  <si>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</si>
  <si>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</si>
  <si>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</si>
  <si>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</si>
  <si>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</si>
  <si>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</si>
  <si>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</si>
  <si>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</si>
  <si>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</si>
  <si>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 xml:space="preserve">Osob. asistence., pečovatelská služba a podpora samostat. bydlení </t>
  </si>
  <si>
    <t>Denní stacionář-UTILIS</t>
  </si>
  <si>
    <t>Domov seniorů Břeclav</t>
  </si>
  <si>
    <t>Remedia Plus - Domov se zvláštním režimem</t>
  </si>
  <si>
    <t>Remedia Plus - Respitní péče</t>
  </si>
  <si>
    <t>Integrační centrum - UTILIS- z důvodu udržitelnosti projektu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</si>
  <si>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</si>
  <si>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</si>
  <si>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</si>
  <si>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Vnitřní správa - nákup sociálních poukázek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</si>
  <si>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</si>
  <si>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</si>
  <si>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</si>
  <si>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</si>
  <si>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</si>
  <si>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</si>
  <si>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</si>
  <si>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</si>
  <si>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</si>
  <si>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</si>
  <si>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</si>
  <si>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 (i výdaje související s myslivostí - hodnocení trofejí)</t>
  </si>
  <si>
    <t>Ostatní ochrana půdy a spodních vod</t>
  </si>
  <si>
    <t>Ochrana druhů a stanovišť</t>
  </si>
  <si>
    <t>Ostatní ochrana přírody - znalecké posudky</t>
  </si>
  <si>
    <t>VÝDAJE ORJ 60 CELKEM</t>
  </si>
  <si>
    <t>Záležitosti pozem. komunikací j. n. - BESIP</t>
  </si>
  <si>
    <t>Provoz veřejné silniční dopravy - MHD - dotace na provoz</t>
  </si>
  <si>
    <t>Provoz veřejné silniční dopravy - MHD - dotace na investice (IDS)</t>
  </si>
  <si>
    <t>Provoz vnitrozemské plavby (Břeclav-Pohansko-Janohrad)</t>
  </si>
  <si>
    <t>Činnost vnitřní správy - zálohy pokladnám</t>
  </si>
  <si>
    <t>VÝDAJE ORJ 80 CELKEM</t>
  </si>
  <si>
    <t xml:space="preserve">Bezpečnost a veřejný pořádek </t>
  </si>
  <si>
    <t>VÝDAJE ORJ  90 CELKEM</t>
  </si>
  <si>
    <t>Územní plánování</t>
  </si>
  <si>
    <t>Stavební úřad</t>
  </si>
  <si>
    <t>Program podpory individuál. byt. výstavby</t>
  </si>
  <si>
    <t>Příjmy a výdaje z finančních úvěrových operací-úroky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</si>
  <si>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</si>
  <si>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</si>
  <si>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</si>
  <si>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</si>
  <si>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ODBOR MAJETKOVÝ A PRÁVNÍ</t>
  </si>
  <si>
    <t>Pitná voda (opravy a udržování,nákup ost. služeb)</t>
  </si>
  <si>
    <t>Odvádění a čištění odpadních vod a nakl. s kaly</t>
  </si>
  <si>
    <t>Bytové hospodářství - "BYT 2000"</t>
  </si>
  <si>
    <t xml:space="preserve">Bytové a nebytové hospodářství - Domovní správa Břeclav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</si>
  <si>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</si>
  <si>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</si>
  <si>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</si>
  <si>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</si>
  <si>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</si>
  <si>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</si>
  <si>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</si>
  <si>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Kapitálové výdaje</t>
  </si>
  <si>
    <t>2010</t>
  </si>
  <si>
    <t>Komentář</t>
  </si>
  <si>
    <t>Predikce</t>
  </si>
  <si>
    <t>2009</t>
  </si>
  <si>
    <t>Ostat. zál. v silnič. dopravě (smlouva-žádost o dot.na ek. autobusy)</t>
  </si>
  <si>
    <t>Územ. rozvoj - poraden.,  konzultač. a práv. služby (sml. EURO ONE)</t>
  </si>
  <si>
    <t>Pohansko - staveb. úpr. (vlastní podíl pouze v případě přijetí dotace)</t>
  </si>
  <si>
    <t>Fin. operace jinde nezař.(daň z příjmu, daň z převodu nemov., DPH)</t>
  </si>
  <si>
    <t>Schvál. rozp.</t>
  </si>
  <si>
    <t>Uprav. rozp.</t>
  </si>
  <si>
    <t>Ostat. neinv. transf. ze SR - odbor. les. hosp.,zvýš.nákl. výsadbu</t>
  </si>
  <si>
    <t>Rek. Nám. Ch.N.Ves - Lednická - Tyršův sad (vl.podíl projektu)</t>
  </si>
  <si>
    <t>Očekáváme navýšení dotace z MPSV</t>
  </si>
  <si>
    <t>Udržitelnost projektu do 06/2010, rozhodnutí RM</t>
  </si>
  <si>
    <t>nezměněno</t>
  </si>
  <si>
    <t xml:space="preserve">Činnosti knihovnické  (Městská knihovna) - příspěvek provozní           </t>
  </si>
  <si>
    <t xml:space="preserve">                                                                        - příspěvek investiční</t>
  </si>
  <si>
    <t xml:space="preserve">Cyklostezky ve městě </t>
  </si>
  <si>
    <t xml:space="preserve">Židovská kaple </t>
  </si>
  <si>
    <t>MŠ Břetislavova -zateplení a výměna oken, stav. úpravy (dot. OPŽP)</t>
  </si>
  <si>
    <t>Možná dotace z IOP až do výše 3mil. Kč</t>
  </si>
  <si>
    <t>VÝDAJE ORJ  100 CELKEM</t>
  </si>
  <si>
    <t>Budou chybět poplatky ze zrušeného autokempu.</t>
  </si>
  <si>
    <t>očekávané příjmy 2009 u správ. popl. dosáhnou cca 800tis., nárůst 2010 nelze očekávat</t>
  </si>
  <si>
    <t>ukládáme nejvyšší (dvoj až trojnás.) blok. pok. oproti jiným OžÚ v JMKraji "vlast. podnikatelům"</t>
  </si>
  <si>
    <t>(projekt 41,5 - dotace 28 934 tis. - vl.podíl 12,4 mil.)</t>
  </si>
  <si>
    <t xml:space="preserve">Bezbariérové nájedy a sjezdy z chodníků  </t>
  </si>
  <si>
    <t>(projekt 8,8 mil. - dotace 6,8 mil. - vl.podíl 2,0 mil.)</t>
  </si>
  <si>
    <t>Dokončení v r. 2010 - Jungmanova, Komenského</t>
  </si>
  <si>
    <t>Odvody příspěvkových organizací</t>
  </si>
  <si>
    <t>Přijaté dary - zájmová činnost v kultuře</t>
  </si>
  <si>
    <t>1-9/2009</t>
  </si>
  <si>
    <t>Neinvestiční přij. transfery ze SR - Czech Point</t>
  </si>
  <si>
    <t>Přijaté nekapitálové příspěvky a náhr.-sběr a svoz TKO</t>
  </si>
  <si>
    <t>Ost. Ineinvest.přij.transfery ze SR (pojistné veřejné služby)</t>
  </si>
  <si>
    <t>Rek.vozovky Pastevní a U Zbrodku</t>
  </si>
  <si>
    <t>(projekt 34783 tis.-dotace 23383 tis.- vl.podíl 11,4 mil.)</t>
  </si>
  <si>
    <t>Komunikace na zahradách</t>
  </si>
  <si>
    <t>2011</t>
  </si>
  <si>
    <t>2012</t>
  </si>
  <si>
    <t>Investiční akce 2010-2012 nezahrnuté do rozpočtu</t>
  </si>
  <si>
    <t>Investiční akce 2010-2012 zahrnuté do rozpočtu</t>
  </si>
  <si>
    <t xml:space="preserve">Komunikace Za bankou </t>
  </si>
  <si>
    <t>Mezisoučet A</t>
  </si>
  <si>
    <t>Mezisoučet B</t>
  </si>
  <si>
    <t>Mezisoučet C</t>
  </si>
  <si>
    <t>Investice celkem zahrnuté do rozpočtu</t>
  </si>
  <si>
    <t>nový server - 130tis. Kč</t>
  </si>
  <si>
    <t xml:space="preserve">IPRM - Valtická - dotace z IOP  </t>
  </si>
  <si>
    <t>Česká 2100, Sovadinova 1100, Gen.Šimka 12300</t>
  </si>
  <si>
    <t>Náklady na podání žudosti do ROPU a výkup pozemků</t>
  </si>
  <si>
    <t>Realizace II.etapy - topení</t>
  </si>
  <si>
    <t>projekt 22 mil. - dotace 10 mil. - vl.podíl 12 mil.</t>
  </si>
  <si>
    <t>projekt 22 mil. - dotace 8,9 mil. - vl.podíl 13,1 mil.</t>
  </si>
  <si>
    <t>projekt 15 mil. - dotace 5,4 mil. - vl.podíl 9,6 mil.</t>
  </si>
  <si>
    <t>projekt 7,5 mil. - dotace 3,5 mil. - vl.podíl 4,0 mil.</t>
  </si>
  <si>
    <t>projekt 12 mil. - dotace 10,2 mil. - vl.podíl 1,8 mil.</t>
  </si>
  <si>
    <t>rekonstrukce topení</t>
  </si>
  <si>
    <t xml:space="preserve">trafostanice 200, ozvučení haly 300, odvlhčení haly 2500tis. </t>
  </si>
  <si>
    <t>projekt 41,5 - dotace 28 934 tis. - vl.podíl 12,4 mil.</t>
  </si>
  <si>
    <t>projekt 8,8 mil. - dotace 6,8 mil. - vl.podíl 2,0 mil.</t>
  </si>
  <si>
    <t>projekt 34783 tis.-dotace 23383 tis.- vl.podíl 1,8 mil.</t>
  </si>
  <si>
    <t xml:space="preserve">     Místní poplatky</t>
  </si>
  <si>
    <t xml:space="preserve">     Správní poplatky</t>
  </si>
  <si>
    <t xml:space="preserve">     Sdílené daně</t>
  </si>
  <si>
    <t>Nedaňové příjmy</t>
  </si>
  <si>
    <t xml:space="preserve">   </t>
  </si>
  <si>
    <t>Běžné výdaje</t>
  </si>
  <si>
    <t>Úhrada nákladů na výsadbu melor.dřevin</t>
  </si>
  <si>
    <t>v r.2010 a dál uvažováno s nárůstem veletrhů cestovního ruchu</t>
  </si>
  <si>
    <t>ost.dotace kult., vedení Kroniky, hudba v parku, Silvestr,ocenění</t>
  </si>
  <si>
    <t>mandatorní</t>
  </si>
  <si>
    <t>oprava hlediště-sedačky</t>
  </si>
  <si>
    <t>dotace MSK (3500tis.)-mandatorní, dotace krytý bazén (3500tis.)</t>
  </si>
  <si>
    <t>Volby do EU, senátu, zastupitelstev</t>
  </si>
  <si>
    <t>Úhrada melioračních dřevin</t>
  </si>
  <si>
    <t>Sv. Hubert</t>
  </si>
  <si>
    <t xml:space="preserve">     Pronájmy</t>
  </si>
  <si>
    <t xml:space="preserve">     Sankční poplatky</t>
  </si>
  <si>
    <t>Příloha č. 2/1</t>
  </si>
  <si>
    <t>Příloha č. 2/2</t>
  </si>
  <si>
    <t>Příloha č. 2/3</t>
  </si>
  <si>
    <t>Příloha č. 2/4</t>
  </si>
  <si>
    <t>Příloha č. 2/5</t>
  </si>
  <si>
    <t>Příloha č. 2/6</t>
  </si>
  <si>
    <t>Příloha č. 2/7</t>
  </si>
  <si>
    <t>Příloha č. 2/8</t>
  </si>
  <si>
    <t>Příloha č. 2/9</t>
  </si>
  <si>
    <t>Příloha č. 2/10</t>
  </si>
  <si>
    <t xml:space="preserve">Tematický park </t>
  </si>
  <si>
    <t>Miniatury 16422 tis., Demolice 2,5 mil.</t>
  </si>
  <si>
    <t xml:space="preserve">IPRM - Valtická - dotace z IOP </t>
  </si>
  <si>
    <t>Ostatní</t>
  </si>
  <si>
    <t>Investič. přijaté transfery ze st.fondů</t>
  </si>
  <si>
    <t>Ostatní neinv. přij. transfery - Intereg,Prev. krimin.Systém včas. intervence</t>
  </si>
  <si>
    <t xml:space="preserve">Ostatní </t>
  </si>
  <si>
    <t>Neinvestiční přij. transfery od obcí a krajů</t>
  </si>
  <si>
    <t>RS</t>
  </si>
  <si>
    <t>RU</t>
  </si>
  <si>
    <t>Komunikace -  podél železnice Břeclav-Lednice,   r. 2011-12 neurčené</t>
  </si>
  <si>
    <t>Investiční dotace na nákup autobusu (BORS)</t>
  </si>
  <si>
    <t>Miniatury LVA  - tématický park</t>
  </si>
  <si>
    <t>ZŠ Slovácká- vnitřní rekonstrukce</t>
  </si>
  <si>
    <t xml:space="preserve">Komunikace Česká, parkoviště Sovadinova, Gen. Šimka                      </t>
  </si>
  <si>
    <t xml:space="preserve">ZŠ Kupkova - stavební úpravy na provoz MŠ </t>
  </si>
  <si>
    <t>MŠ zateplení - PD + vlastní podíl</t>
  </si>
  <si>
    <t>Rekonstrukce Knihovny Poštorná</t>
  </si>
  <si>
    <t>MSK - stavební úpravy areálu (půdní vestavba)</t>
  </si>
  <si>
    <t xml:space="preserve">Hřbitovy (Ch.N.Ves, Poštorná) - chodníky </t>
  </si>
  <si>
    <t>ZŠ zateplení - PD + vlastní podíl</t>
  </si>
  <si>
    <t>Knihovna Břeclav - rekonstrukce topení</t>
  </si>
  <si>
    <t>Tereza - odvlhčení, trafostanice, ozvučení</t>
  </si>
  <si>
    <t>Centrum - chodníky + chodník za Kinem Koruna</t>
  </si>
  <si>
    <t xml:space="preserve">                                       SUMÁŘ PŘÍJMŮ NA ROK 2010-2012 DLE ORGANIZAČNÍCH JEDNOTEK   (v tis. Kč)</t>
  </si>
  <si>
    <t xml:space="preserve">                                       SUMÁŘ VÝDAJŮ NA ROK 2010-2012 DLE ORGANIZAČNÍCH JEDNOTEK   (v tis. Kč)</t>
  </si>
  <si>
    <t xml:space="preserve">Využití volného času dětí a mládeže    </t>
  </si>
  <si>
    <t xml:space="preserve">                                                            účelový příspěvek na opravu sedaček</t>
  </si>
  <si>
    <t xml:space="preserve">Sportovní zařízení v majetku obce -TEREZA  - příspěvek provozní </t>
  </si>
  <si>
    <t xml:space="preserve">                                       INVESTICE ZAHRNUTÉ A NEZAHRNUTÉ DO ROZPOČTU R. 2010       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</si>
</sst>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4" fontId="7" fillId="24" borderId="16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24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8" fillId="24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4" fontId="7" fillId="24" borderId="19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left" vertical="center"/>
    </xf>
    <xf numFmtId="4" fontId="4" fillId="0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16" fontId="4" fillId="0" borderId="1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2" fillId="0" borderId="0" xfId="46" applyFont="1" applyFill="1" applyAlignment="1">
      <alignment horizontal="center"/>
      <protection/>
    </xf>
    <xf numFmtId="0" fontId="9" fillId="0" borderId="0" xfId="46" applyFont="1" applyFill="1">
      <alignment/>
      <protection/>
    </xf>
    <xf numFmtId="0" fontId="0" fillId="0" borderId="0" xfId="46" applyFill="1">
      <alignment/>
      <protection/>
    </xf>
    <xf numFmtId="0" fontId="4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Fill="1" applyAlignment="1">
      <alignment horizontal="right"/>
      <protection/>
    </xf>
    <xf numFmtId="0" fontId="6" fillId="0" borderId="0" xfId="46" applyFont="1" applyFill="1" applyAlignment="1">
      <alignment horizontal="center"/>
      <protection/>
    </xf>
    <xf numFmtId="0" fontId="4" fillId="0" borderId="28" xfId="46" applyFont="1" applyFill="1" applyBorder="1" applyAlignment="1">
      <alignment horizontal="center"/>
      <protection/>
    </xf>
    <xf numFmtId="0" fontId="4" fillId="0" borderId="24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25" xfId="46" applyFont="1" applyFill="1" applyBorder="1" applyAlignment="1">
      <alignment horizontal="center"/>
      <protection/>
    </xf>
    <xf numFmtId="0" fontId="4" fillId="0" borderId="12" xfId="46" applyFont="1" applyFill="1" applyBorder="1">
      <alignment/>
      <protection/>
    </xf>
    <xf numFmtId="49" fontId="4" fillId="0" borderId="12" xfId="46" applyNumberFormat="1" applyFont="1" applyFill="1" applyBorder="1" applyAlignment="1">
      <alignment horizontal="center"/>
      <protection/>
    </xf>
    <xf numFmtId="0" fontId="4" fillId="0" borderId="14" xfId="46" applyFont="1" applyFill="1" applyBorder="1" applyAlignment="1">
      <alignment horizontal="center"/>
      <protection/>
    </xf>
    <xf numFmtId="0" fontId="4" fillId="0" borderId="29" xfId="46" applyFont="1" applyFill="1" applyBorder="1" applyAlignment="1">
      <alignment horizontal="center"/>
      <protection/>
    </xf>
    <xf numFmtId="0" fontId="4" fillId="0" borderId="14" xfId="46" applyFont="1" applyFill="1" applyBorder="1">
      <alignment/>
      <protection/>
    </xf>
    <xf numFmtId="4" fontId="7" fillId="0" borderId="20" xfId="46" applyNumberFormat="1" applyFont="1" applyFill="1" applyBorder="1">
      <alignment/>
      <protection/>
    </xf>
    <xf numFmtId="0" fontId="4" fillId="0" borderId="15" xfId="46" applyFont="1" applyFill="1" applyBorder="1">
      <alignment/>
      <protection/>
    </xf>
    <xf numFmtId="0" fontId="4" fillId="0" borderId="23" xfId="46" applyFont="1" applyFill="1" applyBorder="1" applyAlignment="1">
      <alignment horizontal="center"/>
      <protection/>
    </xf>
    <xf numFmtId="4" fontId="7" fillId="0" borderId="15" xfId="46" applyNumberFormat="1" applyFont="1" applyFill="1" applyBorder="1">
      <alignment/>
      <protection/>
    </xf>
    <xf numFmtId="0" fontId="7" fillId="0" borderId="23" xfId="46" applyFont="1" applyFill="1" applyBorder="1" applyAlignment="1">
      <alignment horizontal="center"/>
      <protection/>
    </xf>
    <xf numFmtId="0" fontId="7" fillId="0" borderId="15" xfId="46" applyFont="1" applyFill="1" applyBorder="1">
      <alignment/>
      <protection/>
    </xf>
    <xf numFmtId="4" fontId="10" fillId="0" borderId="15" xfId="46" applyNumberFormat="1" applyFont="1" applyFill="1" applyBorder="1">
      <alignment/>
      <protection/>
    </xf>
    <xf numFmtId="0" fontId="7" fillId="0" borderId="12" xfId="46" applyFont="1" applyFill="1" applyBorder="1">
      <alignment/>
      <protection/>
    </xf>
    <xf numFmtId="0" fontId="7" fillId="0" borderId="30" xfId="46" applyFont="1" applyFill="1" applyBorder="1" applyAlignment="1">
      <alignment horizontal="center"/>
      <protection/>
    </xf>
    <xf numFmtId="0" fontId="7" fillId="0" borderId="19" xfId="46" applyFont="1" applyFill="1" applyBorder="1">
      <alignment/>
      <protection/>
    </xf>
    <xf numFmtId="4" fontId="7" fillId="0" borderId="19" xfId="46" applyNumberFormat="1" applyFont="1" applyFill="1" applyBorder="1">
      <alignment/>
      <protection/>
    </xf>
    <xf numFmtId="4" fontId="7" fillId="0" borderId="21" xfId="46" applyNumberFormat="1" applyFont="1" applyFill="1" applyBorder="1">
      <alignment/>
      <protection/>
    </xf>
    <xf numFmtId="0" fontId="7" fillId="0" borderId="22" xfId="46" applyFont="1" applyFill="1" applyBorder="1">
      <alignment/>
      <protection/>
    </xf>
    <xf numFmtId="0" fontId="7" fillId="0" borderId="31" xfId="46" applyFont="1" applyFill="1" applyBorder="1" applyAlignment="1">
      <alignment horizontal="center"/>
      <protection/>
    </xf>
    <xf numFmtId="0" fontId="4" fillId="0" borderId="18" xfId="46" applyFont="1" applyFill="1" applyBorder="1">
      <alignment/>
      <protection/>
    </xf>
    <xf numFmtId="4" fontId="4" fillId="0" borderId="18" xfId="46" applyNumberFormat="1" applyFont="1" applyFill="1" applyBorder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center"/>
      <protection/>
    </xf>
    <xf numFmtId="0" fontId="4" fillId="0" borderId="0" xfId="46" applyFont="1" applyFill="1" applyBorder="1">
      <alignment/>
      <protection/>
    </xf>
    <xf numFmtId="3" fontId="4" fillId="0" borderId="0" xfId="46" applyNumberFormat="1" applyFont="1" applyFill="1" applyBorder="1">
      <alignment/>
      <protection/>
    </xf>
    <xf numFmtId="4" fontId="4" fillId="0" borderId="0" xfId="46" applyNumberFormat="1" applyFont="1" applyFill="1" applyBorder="1">
      <alignment/>
      <protection/>
    </xf>
    <xf numFmtId="0" fontId="7" fillId="0" borderId="0" xfId="46" applyFont="1" applyFill="1" applyAlignment="1">
      <alignment horizontal="center"/>
      <protection/>
    </xf>
    <xf numFmtId="0" fontId="4" fillId="0" borderId="25" xfId="46" applyFont="1" applyFill="1" applyBorder="1">
      <alignment/>
      <protection/>
    </xf>
    <xf numFmtId="4" fontId="7" fillId="0" borderId="14" xfId="46" applyNumberFormat="1" applyFont="1" applyFill="1" applyBorder="1">
      <alignment/>
      <protection/>
    </xf>
    <xf numFmtId="0" fontId="7" fillId="0" borderId="30" xfId="46" applyFont="1" applyFill="1" applyBorder="1">
      <alignment/>
      <protection/>
    </xf>
    <xf numFmtId="0" fontId="7" fillId="0" borderId="23" xfId="46" applyFont="1" applyFill="1" applyBorder="1">
      <alignment/>
      <protection/>
    </xf>
    <xf numFmtId="4" fontId="7" fillId="24" borderId="15" xfId="46" applyNumberFormat="1" applyFont="1" applyFill="1" applyBorder="1">
      <alignment/>
      <protection/>
    </xf>
    <xf numFmtId="0" fontId="7" fillId="0" borderId="29" xfId="46" applyFont="1" applyFill="1" applyBorder="1">
      <alignment/>
      <protection/>
    </xf>
    <xf numFmtId="4" fontId="7" fillId="24" borderId="14" xfId="46" applyNumberFormat="1" applyFont="1" applyFill="1" applyBorder="1">
      <alignment/>
      <protection/>
    </xf>
    <xf numFmtId="0" fontId="4" fillId="0" borderId="0" xfId="46" applyFont="1" applyFill="1">
      <alignment/>
      <protection/>
    </xf>
    <xf numFmtId="0" fontId="7" fillId="0" borderId="14" xfId="46" applyFont="1" applyFill="1" applyBorder="1">
      <alignment/>
      <protection/>
    </xf>
    <xf numFmtId="0" fontId="11" fillId="0" borderId="29" xfId="46" applyFont="1" applyFill="1" applyBorder="1">
      <alignment/>
      <protection/>
    </xf>
    <xf numFmtId="4" fontId="11" fillId="0" borderId="14" xfId="46" applyNumberFormat="1" applyFont="1" applyFill="1" applyBorder="1">
      <alignment/>
      <protection/>
    </xf>
    <xf numFmtId="0" fontId="4" fillId="0" borderId="19" xfId="46" applyFont="1" applyFill="1" applyBorder="1">
      <alignment/>
      <protection/>
    </xf>
    <xf numFmtId="0" fontId="4" fillId="0" borderId="30" xfId="46" applyFont="1" applyFill="1" applyBorder="1" applyAlignment="1">
      <alignment horizontal="center"/>
      <protection/>
    </xf>
    <xf numFmtId="0" fontId="4" fillId="0" borderId="30" xfId="46" applyFont="1" applyFill="1" applyBorder="1">
      <alignment/>
      <protection/>
    </xf>
    <xf numFmtId="4" fontId="4" fillId="0" borderId="19" xfId="46" applyNumberFormat="1" applyFont="1" applyFill="1" applyBorder="1">
      <alignment/>
      <protection/>
    </xf>
    <xf numFmtId="0" fontId="12" fillId="0" borderId="23" xfId="46" applyFont="1" applyFill="1" applyBorder="1">
      <alignment/>
      <protection/>
    </xf>
    <xf numFmtId="0" fontId="7" fillId="24" borderId="15" xfId="46" applyFont="1" applyFill="1" applyBorder="1">
      <alignment/>
      <protection/>
    </xf>
    <xf numFmtId="0" fontId="7" fillId="0" borderId="23" xfId="46" applyFont="1" applyFill="1" applyBorder="1" applyAlignment="1">
      <alignment horizontal="left"/>
      <protection/>
    </xf>
    <xf numFmtId="4" fontId="7" fillId="0" borderId="15" xfId="46" applyNumberFormat="1" applyFont="1" applyFill="1" applyBorder="1">
      <alignment/>
      <protection/>
    </xf>
    <xf numFmtId="0" fontId="7" fillId="0" borderId="15" xfId="46" applyFont="1" applyFill="1" applyBorder="1">
      <alignment/>
      <protection/>
    </xf>
    <xf numFmtId="0" fontId="4" fillId="0" borderId="15" xfId="46" applyFont="1" applyFill="1" applyBorder="1">
      <alignment/>
      <protection/>
    </xf>
    <xf numFmtId="0" fontId="4" fillId="0" borderId="23" xfId="46" applyFont="1" applyFill="1" applyBorder="1" applyAlignment="1">
      <alignment horizontal="center"/>
      <protection/>
    </xf>
    <xf numFmtId="0" fontId="4" fillId="0" borderId="23" xfId="46" applyFont="1" applyFill="1" applyBorder="1">
      <alignment/>
      <protection/>
    </xf>
    <xf numFmtId="4" fontId="4" fillId="0" borderId="15" xfId="46" applyNumberFormat="1" applyFont="1" applyFill="1" applyBorder="1">
      <alignment/>
      <protection/>
    </xf>
    <xf numFmtId="0" fontId="7" fillId="0" borderId="18" xfId="46" applyFont="1" applyFill="1" applyBorder="1">
      <alignment/>
      <protection/>
    </xf>
    <xf numFmtId="0" fontId="4" fillId="0" borderId="31" xfId="46" applyFont="1" applyFill="1" applyBorder="1">
      <alignment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/>
      <protection/>
    </xf>
    <xf numFmtId="0" fontId="4" fillId="0" borderId="29" xfId="46" applyFont="1" applyFill="1" applyBorder="1">
      <alignment/>
      <protection/>
    </xf>
    <xf numFmtId="0" fontId="4" fillId="0" borderId="15" xfId="46" applyFont="1" applyFill="1" applyBorder="1" applyAlignment="1">
      <alignment horizontal="center"/>
      <protection/>
    </xf>
    <xf numFmtId="0" fontId="7" fillId="0" borderId="15" xfId="46" applyFont="1" applyFill="1" applyBorder="1" applyAlignment="1">
      <alignment horizontal="center"/>
      <protection/>
    </xf>
    <xf numFmtId="4" fontId="7" fillId="0" borderId="15" xfId="46" applyNumberFormat="1" applyFont="1" applyFill="1" applyBorder="1" applyAlignment="1">
      <alignment/>
      <protection/>
    </xf>
    <xf numFmtId="0" fontId="4" fillId="0" borderId="21" xfId="46" applyFont="1" applyFill="1" applyBorder="1" applyAlignment="1">
      <alignment horizontal="center"/>
      <protection/>
    </xf>
    <xf numFmtId="0" fontId="7" fillId="0" borderId="21" xfId="46" applyFont="1" applyFill="1" applyBorder="1" applyAlignment="1">
      <alignment horizontal="center"/>
      <protection/>
    </xf>
    <xf numFmtId="0" fontId="7" fillId="0" borderId="21" xfId="46" applyFont="1" applyFill="1" applyBorder="1">
      <alignment/>
      <protection/>
    </xf>
    <xf numFmtId="4" fontId="7" fillId="0" borderId="16" xfId="46" applyNumberFormat="1" applyFont="1" applyFill="1" applyBorder="1">
      <alignment/>
      <protection/>
    </xf>
    <xf numFmtId="0" fontId="7" fillId="0" borderId="18" xfId="46" applyFont="1" applyFill="1" applyBorder="1" applyAlignment="1">
      <alignment horizontal="center"/>
      <protection/>
    </xf>
    <xf numFmtId="0" fontId="4" fillId="0" borderId="32" xfId="46" applyFont="1" applyFill="1" applyBorder="1">
      <alignment/>
      <protection/>
    </xf>
    <xf numFmtId="0" fontId="7" fillId="0" borderId="16" xfId="46" applyFont="1" applyFill="1" applyBorder="1">
      <alignment/>
      <protection/>
    </xf>
    <xf numFmtId="0" fontId="7" fillId="0" borderId="17" xfId="46" applyFont="1" applyFill="1" applyBorder="1" applyAlignment="1">
      <alignment horizontal="center"/>
      <protection/>
    </xf>
    <xf numFmtId="0" fontId="7" fillId="0" borderId="17" xfId="46" applyFont="1" applyBorder="1" applyAlignment="1">
      <alignment horizontal="center"/>
      <protection/>
    </xf>
    <xf numFmtId="0" fontId="7" fillId="0" borderId="16" xfId="46" applyFont="1" applyBorder="1">
      <alignment/>
      <protection/>
    </xf>
    <xf numFmtId="4" fontId="7" fillId="24" borderId="16" xfId="46" applyNumberFormat="1" applyFont="1" applyFill="1" applyBorder="1">
      <alignment/>
      <protection/>
    </xf>
    <xf numFmtId="4" fontId="7" fillId="0" borderId="16" xfId="46" applyNumberFormat="1" applyFont="1" applyFill="1" applyBorder="1">
      <alignment/>
      <protection/>
    </xf>
    <xf numFmtId="0" fontId="7" fillId="0" borderId="25" xfId="46" applyFont="1" applyFill="1" applyBorder="1" applyAlignment="1">
      <alignment horizontal="center"/>
      <protection/>
    </xf>
    <xf numFmtId="0" fontId="7" fillId="0" borderId="26" xfId="46" applyFont="1" applyFill="1" applyBorder="1" applyAlignment="1">
      <alignment horizontal="center"/>
      <protection/>
    </xf>
    <xf numFmtId="0" fontId="4" fillId="0" borderId="22" xfId="46" applyFont="1" applyFill="1" applyBorder="1">
      <alignment/>
      <protection/>
    </xf>
    <xf numFmtId="0" fontId="7" fillId="0" borderId="16" xfId="46" applyFont="1" applyFill="1" applyBorder="1" applyAlignment="1">
      <alignment horizontal="center"/>
      <protection/>
    </xf>
    <xf numFmtId="0" fontId="7" fillId="0" borderId="22" xfId="46" applyFont="1" applyFill="1" applyBorder="1" applyAlignment="1">
      <alignment horizontal="center"/>
      <protection/>
    </xf>
    <xf numFmtId="0" fontId="4" fillId="0" borderId="21" xfId="46" applyFont="1" applyFill="1" applyBorder="1">
      <alignment/>
      <protection/>
    </xf>
    <xf numFmtId="4" fontId="7" fillId="0" borderId="12" xfId="46" applyNumberFormat="1" applyFont="1" applyFill="1" applyBorder="1">
      <alignment/>
      <protection/>
    </xf>
    <xf numFmtId="0" fontId="4" fillId="0" borderId="16" xfId="46" applyFont="1" applyFill="1" applyBorder="1" applyAlignment="1">
      <alignment horizontal="center"/>
      <protection/>
    </xf>
    <xf numFmtId="0" fontId="10" fillId="24" borderId="16" xfId="46" applyFont="1" applyFill="1" applyBorder="1" applyAlignment="1">
      <alignment horizontal="center"/>
      <protection/>
    </xf>
    <xf numFmtId="0" fontId="7" fillId="0" borderId="19" xfId="46" applyFont="1" applyBorder="1">
      <alignment/>
      <protection/>
    </xf>
    <xf numFmtId="0" fontId="10" fillId="24" borderId="21" xfId="46" applyFont="1" applyFill="1" applyBorder="1" applyAlignment="1">
      <alignment horizontal="center"/>
      <protection/>
    </xf>
    <xf numFmtId="0" fontId="7" fillId="0" borderId="21" xfId="46" applyFont="1" applyBorder="1">
      <alignment/>
      <protection/>
    </xf>
    <xf numFmtId="4" fontId="7" fillId="24" borderId="19" xfId="46" applyNumberFormat="1" applyFont="1" applyFill="1" applyBorder="1">
      <alignment/>
      <protection/>
    </xf>
    <xf numFmtId="4" fontId="4" fillId="0" borderId="14" xfId="46" applyNumberFormat="1" applyFont="1" applyFill="1" applyBorder="1">
      <alignment/>
      <protection/>
    </xf>
    <xf numFmtId="4" fontId="4" fillId="0" borderId="22" xfId="46" applyNumberFormat="1" applyFont="1" applyFill="1" applyBorder="1">
      <alignment/>
      <protection/>
    </xf>
    <xf numFmtId="0" fontId="7" fillId="0" borderId="33" xfId="46" applyFont="1" applyFill="1" applyBorder="1">
      <alignment/>
      <protection/>
    </xf>
    <xf numFmtId="0" fontId="4" fillId="0" borderId="22" xfId="46" applyFont="1" applyFill="1" applyBorder="1" applyAlignment="1">
      <alignment horizontal="center"/>
      <protection/>
    </xf>
    <xf numFmtId="0" fontId="4" fillId="0" borderId="34" xfId="46" applyFont="1" applyFill="1" applyBorder="1" applyAlignment="1">
      <alignment vertical="center"/>
      <protection/>
    </xf>
    <xf numFmtId="4" fontId="4" fillId="0" borderId="22" xfId="46" applyNumberFormat="1" applyFont="1" applyFill="1" applyBorder="1" applyAlignment="1">
      <alignment vertical="center"/>
      <protection/>
    </xf>
    <xf numFmtId="0" fontId="7" fillId="0" borderId="0" xfId="46" applyFont="1" applyFill="1">
      <alignment/>
      <protection/>
    </xf>
    <xf numFmtId="4" fontId="7" fillId="0" borderId="0" xfId="46" applyNumberFormat="1" applyFont="1" applyFill="1">
      <alignment/>
      <protection/>
    </xf>
    <xf numFmtId="4" fontId="0" fillId="0" borderId="0" xfId="46" applyNumberFormat="1" applyFill="1">
      <alignment/>
      <protection/>
    </xf>
    <xf numFmtId="3" fontId="7" fillId="0" borderId="0" xfId="46" applyNumberFormat="1" applyFont="1" applyFill="1">
      <alignment/>
      <protection/>
    </xf>
    <xf numFmtId="0" fontId="0" fillId="0" borderId="15" xfId="0" applyFont="1" applyFill="1" applyBorder="1" applyAlignment="1">
      <alignment/>
    </xf>
    <xf numFmtId="0" fontId="7" fillId="0" borderId="15" xfId="46" applyFont="1" applyFill="1" applyBorder="1" applyAlignment="1">
      <alignment horizontal="left"/>
      <protection/>
    </xf>
    <xf numFmtId="0" fontId="0" fillId="0" borderId="16" xfId="0" applyFont="1" applyFill="1" applyBorder="1" applyAlignment="1">
      <alignment/>
    </xf>
    <xf numFmtId="0" fontId="16" fillId="0" borderId="0" xfId="46" applyFont="1" applyFill="1" applyBorder="1" applyAlignment="1">
      <alignment/>
      <protection/>
    </xf>
    <xf numFmtId="0" fontId="16" fillId="0" borderId="0" xfId="46" applyFont="1" applyFill="1" applyBorder="1">
      <alignment/>
      <protection/>
    </xf>
    <xf numFmtId="4" fontId="7" fillId="0" borderId="14" xfId="0" applyNumberFormat="1" applyFont="1" applyFill="1" applyBorder="1" applyAlignment="1">
      <alignment/>
    </xf>
    <xf numFmtId="4" fontId="7" fillId="24" borderId="14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4" fontId="15" fillId="0" borderId="15" xfId="0" applyNumberFormat="1" applyFont="1" applyBorder="1" applyAlignment="1">
      <alignment/>
    </xf>
    <xf numFmtId="4" fontId="10" fillId="0" borderId="35" xfId="46" applyNumberFormat="1" applyFont="1" applyFill="1" applyBorder="1">
      <alignment/>
      <protection/>
    </xf>
    <xf numFmtId="4" fontId="7" fillId="0" borderId="35" xfId="46" applyNumberFormat="1" applyFont="1" applyFill="1" applyBorder="1">
      <alignment/>
      <protection/>
    </xf>
    <xf numFmtId="0" fontId="7" fillId="0" borderId="16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23" xfId="46" applyFont="1" applyFill="1" applyBorder="1" applyAlignment="1">
      <alignment horizontal="right"/>
      <protection/>
    </xf>
    <xf numFmtId="0" fontId="7" fillId="0" borderId="15" xfId="46" applyFont="1" applyFill="1" applyBorder="1" applyAlignment="1">
      <alignment horizontal="right"/>
      <protection/>
    </xf>
    <xf numFmtId="0" fontId="7" fillId="0" borderId="17" xfId="46" applyFont="1" applyFill="1" applyBorder="1" applyAlignment="1">
      <alignment horizontal="right"/>
      <protection/>
    </xf>
    <xf numFmtId="4" fontId="17" fillId="0" borderId="15" xfId="46" applyNumberFormat="1" applyFont="1" applyFill="1" applyBorder="1">
      <alignment/>
      <protection/>
    </xf>
    <xf numFmtId="4" fontId="17" fillId="24" borderId="16" xfId="0" applyNumberFormat="1" applyFont="1" applyFill="1" applyBorder="1" applyAlignment="1">
      <alignment/>
    </xf>
    <xf numFmtId="0" fontId="0" fillId="0" borderId="0" xfId="0" applyAlignment="1">
      <alignment/>
    </xf>
    <xf numFmtId="4" fontId="17" fillId="0" borderId="36" xfId="46" applyNumberFormat="1" applyFont="1" applyFill="1" applyBorder="1">
      <alignment/>
      <protection/>
    </xf>
    <xf numFmtId="4" fontId="0" fillId="0" borderId="36" xfId="46" applyNumberFormat="1" applyFont="1" applyFill="1" applyBorder="1">
      <alignment/>
      <protection/>
    </xf>
    <xf numFmtId="0" fontId="7" fillId="0" borderId="2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7" fillId="0" borderId="16" xfId="46" applyFont="1" applyFill="1" applyBorder="1" applyAlignment="1">
      <alignment horizontal="right"/>
      <protection/>
    </xf>
    <xf numFmtId="0" fontId="11" fillId="0" borderId="15" xfId="46" applyFont="1" applyFill="1" applyBorder="1">
      <alignment/>
      <protection/>
    </xf>
    <xf numFmtId="4" fontId="18" fillId="0" borderId="37" xfId="46" applyNumberFormat="1" applyFont="1" applyFill="1" applyBorder="1">
      <alignment/>
      <protection/>
    </xf>
    <xf numFmtId="4" fontId="10" fillId="0" borderId="37" xfId="46" applyNumberFormat="1" applyFont="1" applyFill="1" applyBorder="1">
      <alignment/>
      <protection/>
    </xf>
    <xf numFmtId="4" fontId="10" fillId="0" borderId="36" xfId="46" applyNumberFormat="1" applyFont="1" applyFill="1" applyBorder="1">
      <alignment/>
      <protection/>
    </xf>
    <xf numFmtId="4" fontId="7" fillId="0" borderId="36" xfId="46" applyNumberFormat="1" applyFont="1" applyFill="1" applyBorder="1">
      <alignment/>
      <protection/>
    </xf>
    <xf numFmtId="4" fontId="18" fillId="0" borderId="36" xfId="46" applyNumberFormat="1" applyFont="1" applyFill="1" applyBorder="1">
      <alignment/>
      <protection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10" xfId="46" applyNumberFormat="1" applyFont="1" applyFill="1" applyBorder="1" applyAlignment="1">
      <alignment horizontal="center"/>
      <protection/>
    </xf>
    <xf numFmtId="3" fontId="4" fillId="0" borderId="12" xfId="0" applyNumberFormat="1" applyFont="1" applyFill="1" applyBorder="1" applyAlignment="1">
      <alignment horizontal="center"/>
    </xf>
    <xf numFmtId="3" fontId="4" fillId="0" borderId="12" xfId="46" applyNumberFormat="1" applyFont="1" applyFill="1" applyBorder="1" applyAlignment="1">
      <alignment horizontal="center"/>
      <protection/>
    </xf>
    <xf numFmtId="3" fontId="7" fillId="0" borderId="14" xfId="0" applyNumberFormat="1" applyFont="1" applyFill="1" applyBorder="1" applyAlignment="1">
      <alignment/>
    </xf>
    <xf numFmtId="3" fontId="7" fillId="24" borderId="16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7" fillId="24" borderId="16" xfId="0" applyNumberFormat="1" applyFont="1" applyFill="1" applyBorder="1" applyAlignment="1">
      <alignment/>
    </xf>
    <xf numFmtId="3" fontId="7" fillId="0" borderId="15" xfId="46" applyNumberFormat="1" applyFont="1" applyFill="1" applyBorder="1">
      <alignment/>
      <protection/>
    </xf>
    <xf numFmtId="3" fontId="7" fillId="0" borderId="16" xfId="46" applyNumberFormat="1" applyFont="1" applyFill="1" applyBorder="1">
      <alignment/>
      <protection/>
    </xf>
    <xf numFmtId="3" fontId="4" fillId="0" borderId="16" xfId="46" applyNumberFormat="1" applyFont="1" applyFill="1" applyBorder="1">
      <alignment/>
      <protection/>
    </xf>
    <xf numFmtId="3" fontId="4" fillId="0" borderId="15" xfId="46" applyNumberFormat="1" applyFont="1" applyFill="1" applyBorder="1">
      <alignment/>
      <protection/>
    </xf>
    <xf numFmtId="3" fontId="7" fillId="0" borderId="19" xfId="46" applyNumberFormat="1" applyFont="1" applyFill="1" applyBorder="1">
      <alignment/>
      <protection/>
    </xf>
    <xf numFmtId="3" fontId="7" fillId="0" borderId="19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3" fontId="7" fillId="0" borderId="20" xfId="0" applyNumberFormat="1" applyFont="1" applyFill="1" applyBorder="1" applyAlignment="1">
      <alignment/>
    </xf>
    <xf numFmtId="3" fontId="7" fillId="24" borderId="14" xfId="0" applyNumberFormat="1" applyFont="1" applyFill="1" applyBorder="1" applyAlignment="1">
      <alignment/>
    </xf>
    <xf numFmtId="3" fontId="7" fillId="24" borderId="14" xfId="0" applyNumberFormat="1" applyFont="1" applyFill="1" applyBorder="1" applyAlignment="1">
      <alignment/>
    </xf>
    <xf numFmtId="3" fontId="8" fillId="24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24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7" fillId="24" borderId="19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right"/>
    </xf>
    <xf numFmtId="3" fontId="7" fillId="0" borderId="23" xfId="46" applyNumberFormat="1" applyFont="1" applyFill="1" applyBorder="1">
      <alignment/>
      <protection/>
    </xf>
    <xf numFmtId="3" fontId="10" fillId="0" borderId="15" xfId="46" applyNumberFormat="1" applyFont="1" applyFill="1" applyBorder="1">
      <alignment/>
      <protection/>
    </xf>
    <xf numFmtId="3" fontId="10" fillId="0" borderId="23" xfId="46" applyNumberFormat="1" applyFont="1" applyFill="1" applyBorder="1">
      <alignment/>
      <protection/>
    </xf>
    <xf numFmtId="3" fontId="10" fillId="0" borderId="35" xfId="46" applyNumberFormat="1" applyFont="1" applyFill="1" applyBorder="1">
      <alignment/>
      <protection/>
    </xf>
    <xf numFmtId="3" fontId="7" fillId="0" borderId="35" xfId="46" applyNumberFormat="1" applyFont="1" applyFill="1" applyBorder="1">
      <alignment/>
      <protection/>
    </xf>
    <xf numFmtId="3" fontId="7" fillId="0" borderId="27" xfId="46" applyNumberFormat="1" applyFont="1" applyFill="1" applyBorder="1">
      <alignment/>
      <protection/>
    </xf>
    <xf numFmtId="3" fontId="7" fillId="0" borderId="21" xfId="46" applyNumberFormat="1" applyFont="1" applyFill="1" applyBorder="1">
      <alignment/>
      <protection/>
    </xf>
    <xf numFmtId="3" fontId="7" fillId="0" borderId="30" xfId="46" applyNumberFormat="1" applyFont="1" applyFill="1" applyBorder="1">
      <alignment/>
      <protection/>
    </xf>
    <xf numFmtId="3" fontId="4" fillId="0" borderId="18" xfId="46" applyNumberFormat="1" applyFont="1" applyFill="1" applyBorder="1">
      <alignment/>
      <protection/>
    </xf>
    <xf numFmtId="3" fontId="7" fillId="0" borderId="0" xfId="46" applyNumberFormat="1" applyFont="1" applyFill="1">
      <alignment/>
      <protection/>
    </xf>
    <xf numFmtId="3" fontId="7" fillId="0" borderId="14" xfId="46" applyNumberFormat="1" applyFont="1" applyFill="1" applyBorder="1">
      <alignment/>
      <protection/>
    </xf>
    <xf numFmtId="3" fontId="7" fillId="0" borderId="15" xfId="46" applyNumberFormat="1" applyFont="1" applyFill="1" applyBorder="1">
      <alignment/>
      <protection/>
    </xf>
    <xf numFmtId="3" fontId="7" fillId="24" borderId="15" xfId="46" applyNumberFormat="1" applyFont="1" applyFill="1" applyBorder="1">
      <alignment/>
      <protection/>
    </xf>
    <xf numFmtId="3" fontId="7" fillId="24" borderId="14" xfId="46" applyNumberFormat="1" applyFont="1" applyFill="1" applyBorder="1">
      <alignment/>
      <protection/>
    </xf>
    <xf numFmtId="3" fontId="7" fillId="0" borderId="14" xfId="46" applyNumberFormat="1" applyFont="1" applyFill="1" applyBorder="1">
      <alignment/>
      <protection/>
    </xf>
    <xf numFmtId="3" fontId="11" fillId="0" borderId="14" xfId="46" applyNumberFormat="1" applyFont="1" applyFill="1" applyBorder="1">
      <alignment/>
      <protection/>
    </xf>
    <xf numFmtId="3" fontId="4" fillId="0" borderId="19" xfId="46" applyNumberFormat="1" applyFont="1" applyFill="1" applyBorder="1">
      <alignment/>
      <protection/>
    </xf>
    <xf numFmtId="3" fontId="7" fillId="0" borderId="16" xfId="46" applyNumberFormat="1" applyFont="1" applyFill="1" applyBorder="1">
      <alignment/>
      <protection/>
    </xf>
    <xf numFmtId="3" fontId="7" fillId="0" borderId="15" xfId="46" applyNumberFormat="1" applyFont="1" applyFill="1" applyBorder="1" applyAlignment="1">
      <alignment/>
      <protection/>
    </xf>
    <xf numFmtId="3" fontId="7" fillId="0" borderId="15" xfId="46" applyNumberFormat="1" applyFont="1" applyFill="1" applyBorder="1" applyAlignment="1">
      <alignment/>
      <protection/>
    </xf>
    <xf numFmtId="3" fontId="7" fillId="24" borderId="16" xfId="46" applyNumberFormat="1" applyFont="1" applyFill="1" applyBorder="1">
      <alignment/>
      <protection/>
    </xf>
    <xf numFmtId="3" fontId="7" fillId="0" borderId="23" xfId="46" applyNumberFormat="1" applyFont="1" applyFill="1" applyBorder="1">
      <alignment/>
      <protection/>
    </xf>
    <xf numFmtId="3" fontId="7" fillId="0" borderId="12" xfId="46" applyNumberFormat="1" applyFont="1" applyFill="1" applyBorder="1">
      <alignment/>
      <protection/>
    </xf>
    <xf numFmtId="3" fontId="7" fillId="24" borderId="19" xfId="46" applyNumberFormat="1" applyFont="1" applyFill="1" applyBorder="1">
      <alignment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>
      <alignment/>
      <protection/>
    </xf>
    <xf numFmtId="3" fontId="4" fillId="0" borderId="22" xfId="46" applyNumberFormat="1" applyFont="1" applyFill="1" applyBorder="1">
      <alignment/>
      <protection/>
    </xf>
    <xf numFmtId="3" fontId="4" fillId="0" borderId="22" xfId="46" applyNumberFormat="1" applyFont="1" applyFill="1" applyBorder="1" applyAlignment="1">
      <alignment vertical="center"/>
      <protection/>
    </xf>
    <xf numFmtId="3" fontId="4" fillId="0" borderId="18" xfId="46" applyNumberFormat="1" applyFont="1" applyFill="1" applyBorder="1" applyAlignment="1">
      <alignment vertical="center"/>
      <protection/>
    </xf>
    <xf numFmtId="4" fontId="0" fillId="0" borderId="38" xfId="46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5" xfId="46" applyFont="1" applyFill="1" applyBorder="1" applyAlignment="1">
      <alignment/>
      <protection/>
    </xf>
    <xf numFmtId="0" fontId="7" fillId="0" borderId="15" xfId="46" applyFont="1" applyFill="1" applyBorder="1" applyAlignment="1">
      <alignment horizontal="left"/>
      <protection/>
    </xf>
    <xf numFmtId="0" fontId="11" fillId="0" borderId="14" xfId="46" applyFont="1" applyFill="1" applyBorder="1">
      <alignment/>
      <protection/>
    </xf>
    <xf numFmtId="0" fontId="12" fillId="0" borderId="15" xfId="46" applyFont="1" applyFill="1" applyBorder="1">
      <alignment/>
      <protection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5" fillId="0" borderId="15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7" fillId="0" borderId="41" xfId="46" applyFont="1" applyFill="1" applyBorder="1">
      <alignment/>
      <protection/>
    </xf>
    <xf numFmtId="3" fontId="7" fillId="0" borderId="16" xfId="46" applyNumberFormat="1" applyFont="1" applyFill="1" applyBorder="1" applyAlignment="1">
      <alignment horizontal="left"/>
      <protection/>
    </xf>
    <xf numFmtId="3" fontId="12" fillId="0" borderId="16" xfId="46" applyNumberFormat="1" applyFont="1" applyFill="1" applyBorder="1">
      <alignment/>
      <protection/>
    </xf>
    <xf numFmtId="3" fontId="7" fillId="0" borderId="16" xfId="46" applyNumberFormat="1" applyFont="1" applyFill="1" applyBorder="1" applyAlignment="1">
      <alignment horizontal="left"/>
      <protection/>
    </xf>
    <xf numFmtId="3" fontId="11" fillId="0" borderId="15" xfId="46" applyNumberFormat="1" applyFont="1" applyFill="1" applyBorder="1">
      <alignment/>
      <protection/>
    </xf>
    <xf numFmtId="3" fontId="7" fillId="0" borderId="29" xfId="46" applyNumberFormat="1" applyFont="1" applyFill="1" applyBorder="1">
      <alignment/>
      <protection/>
    </xf>
    <xf numFmtId="3" fontId="4" fillId="0" borderId="30" xfId="46" applyNumberFormat="1" applyFont="1" applyFill="1" applyBorder="1">
      <alignment/>
      <protection/>
    </xf>
    <xf numFmtId="3" fontId="12" fillId="0" borderId="23" xfId="46" applyNumberFormat="1" applyFont="1" applyFill="1" applyBorder="1">
      <alignment/>
      <protection/>
    </xf>
    <xf numFmtId="3" fontId="7" fillId="0" borderId="15" xfId="46" applyNumberFormat="1" applyFont="1" applyFill="1" applyBorder="1" applyAlignment="1">
      <alignment horizontal="left"/>
      <protection/>
    </xf>
    <xf numFmtId="3" fontId="7" fillId="0" borderId="23" xfId="46" applyNumberFormat="1" applyFont="1" applyFill="1" applyBorder="1" applyAlignment="1">
      <alignment horizontal="left"/>
      <protection/>
    </xf>
    <xf numFmtId="3" fontId="7" fillId="0" borderId="16" xfId="46" applyNumberFormat="1" applyFont="1" applyBorder="1">
      <alignment/>
      <protection/>
    </xf>
    <xf numFmtId="0" fontId="7" fillId="0" borderId="21" xfId="46" applyFont="1" applyFill="1" applyBorder="1">
      <alignment/>
      <protection/>
    </xf>
    <xf numFmtId="3" fontId="7" fillId="0" borderId="21" xfId="46" applyNumberFormat="1" applyFont="1" applyFill="1" applyBorder="1">
      <alignment/>
      <protection/>
    </xf>
    <xf numFmtId="3" fontId="7" fillId="0" borderId="42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0" fontId="9" fillId="0" borderId="15" xfId="46" applyFont="1" applyFill="1" applyBorder="1">
      <alignment/>
      <protection/>
    </xf>
    <xf numFmtId="0" fontId="9" fillId="0" borderId="23" xfId="46" applyFont="1" applyFill="1" applyBorder="1" applyAlignment="1">
      <alignment horizontal="center"/>
      <protection/>
    </xf>
    <xf numFmtId="0" fontId="9" fillId="0" borderId="23" xfId="46" applyFont="1" applyFill="1" applyBorder="1">
      <alignment/>
      <protection/>
    </xf>
    <xf numFmtId="3" fontId="9" fillId="0" borderId="23" xfId="46" applyNumberFormat="1" applyFont="1" applyFill="1" applyBorder="1">
      <alignment/>
      <protection/>
    </xf>
    <xf numFmtId="3" fontId="9" fillId="0" borderId="15" xfId="46" applyNumberFormat="1" applyFont="1" applyFill="1" applyBorder="1">
      <alignment/>
      <protection/>
    </xf>
    <xf numFmtId="0" fontId="9" fillId="24" borderId="15" xfId="46" applyFont="1" applyFill="1" applyBorder="1">
      <alignment/>
      <protection/>
    </xf>
    <xf numFmtId="0" fontId="9" fillId="0" borderId="23" xfId="46" applyFont="1" applyFill="1" applyBorder="1" applyAlignment="1">
      <alignment horizontal="left"/>
      <protection/>
    </xf>
    <xf numFmtId="3" fontId="9" fillId="0" borderId="23" xfId="46" applyNumberFormat="1" applyFont="1" applyFill="1" applyBorder="1" applyAlignment="1">
      <alignment horizontal="left"/>
      <protection/>
    </xf>
    <xf numFmtId="3" fontId="9" fillId="0" borderId="16" xfId="46" applyNumberFormat="1" applyFont="1" applyFill="1" applyBorder="1">
      <alignment/>
      <protection/>
    </xf>
    <xf numFmtId="3" fontId="9" fillId="0" borderId="35" xfId="46" applyNumberFormat="1" applyFont="1" applyFill="1" applyBorder="1">
      <alignment/>
      <protection/>
    </xf>
    <xf numFmtId="3" fontId="9" fillId="0" borderId="42" xfId="46" applyNumberFormat="1" applyFont="1" applyFill="1" applyBorder="1">
      <alignment/>
      <protection/>
    </xf>
    <xf numFmtId="0" fontId="9" fillId="0" borderId="15" xfId="46" applyFont="1" applyFill="1" applyBorder="1" applyAlignment="1">
      <alignment horizontal="left"/>
      <protection/>
    </xf>
    <xf numFmtId="3" fontId="9" fillId="0" borderId="15" xfId="46" applyNumberFormat="1" applyFont="1" applyFill="1" applyBorder="1" applyAlignment="1">
      <alignment horizontal="left"/>
      <protection/>
    </xf>
    <xf numFmtId="0" fontId="9" fillId="0" borderId="29" xfId="46" applyFont="1" applyFill="1" applyBorder="1">
      <alignment/>
      <protection/>
    </xf>
    <xf numFmtId="3" fontId="9" fillId="0" borderId="29" xfId="46" applyNumberFormat="1" applyFont="1" applyFill="1" applyBorder="1">
      <alignment/>
      <protection/>
    </xf>
    <xf numFmtId="3" fontId="9" fillId="0" borderId="27" xfId="46" applyNumberFormat="1" applyFont="1" applyFill="1" applyBorder="1">
      <alignment/>
      <protection/>
    </xf>
    <xf numFmtId="0" fontId="11" fillId="0" borderId="29" xfId="46" applyFont="1" applyFill="1" applyBorder="1">
      <alignment/>
      <protection/>
    </xf>
    <xf numFmtId="3" fontId="11" fillId="0" borderId="15" xfId="46" applyNumberFormat="1" applyFont="1" applyFill="1" applyBorder="1">
      <alignment/>
      <protection/>
    </xf>
    <xf numFmtId="0" fontId="7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46" applyFont="1" applyFill="1" applyAlignment="1">
      <alignment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6"/>
  <sheetViews>
    <sheetView zoomScalePageLayoutView="0" workbookViewId="0" topLeftCell="A1">
      <pane xSplit="4" ySplit="6" topLeftCell="E6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75" sqref="K75"/>
    </sheetView>
  </sheetViews>
  <sheetFormatPr defaultColWidth="9.140625" defaultRowHeight="12.75"/>
  <cols>
    <col min="1" max="1" width="7.57421875" style="3" customWidth="1"/>
    <col min="2" max="3" width="10.28125" style="3" customWidth="1"/>
    <col min="4" max="4" width="72.00390625" style="3" customWidth="1"/>
    <col min="5" max="8" width="16.7109375" style="3" customWidth="1"/>
    <col min="9" max="9" width="16.7109375" style="3" hidden="1" customWidth="1"/>
    <col min="10" max="10" width="11.421875" style="3" hidden="1" customWidth="1"/>
    <col min="11" max="11" width="16.8515625" style="3" customWidth="1"/>
    <col min="12" max="12" width="16.7109375" style="3" hidden="1" customWidth="1"/>
    <col min="13" max="13" width="16.7109375" style="3" customWidth="1"/>
    <col min="14" max="14" width="16.7109375" style="3" hidden="1" customWidth="1"/>
    <col min="15" max="16" width="16.7109375" style="3" customWidth="1"/>
    <col min="17" max="17" width="65.28125" style="3" hidden="1" customWidth="1"/>
    <col min="18" max="16384" width="9.140625" style="3" customWidth="1"/>
  </cols>
  <sheetData>
    <row r="1" spans="1:17" ht="21.75" customHeight="1">
      <c r="A1" s="369" t="s">
        <v>0</v>
      </c>
      <c r="B1" s="370"/>
      <c r="C1" s="370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312" t="s">
        <v>481</v>
      </c>
      <c r="Q1" s="2"/>
    </row>
    <row r="2" spans="1:17" ht="12.75" customHeight="1">
      <c r="A2" s="4"/>
      <c r="B2" s="2"/>
      <c r="C2" s="4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6" s="2" customFormat="1" ht="20.25">
      <c r="A3" s="371" t="s">
        <v>515</v>
      </c>
      <c r="B3" s="371"/>
      <c r="C3" s="371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216"/>
      <c r="O3" s="216"/>
      <c r="P3" s="216"/>
    </row>
    <row r="4" spans="1:17" s="2" customFormat="1" ht="15" customHeight="1" thickBot="1">
      <c r="A4" s="6"/>
      <c r="B4" s="6"/>
      <c r="C4" s="6"/>
      <c r="D4" s="6"/>
      <c r="E4" s="6"/>
      <c r="F4" s="6"/>
      <c r="G4" s="7"/>
      <c r="H4" s="7"/>
      <c r="I4" s="8"/>
      <c r="L4" s="8"/>
      <c r="M4" s="7"/>
      <c r="N4" s="7"/>
      <c r="O4" s="7"/>
      <c r="P4" s="7"/>
      <c r="Q4" s="7"/>
    </row>
    <row r="5" spans="1:17" ht="15.75">
      <c r="A5" s="9" t="s">
        <v>2</v>
      </c>
      <c r="B5" s="9" t="s">
        <v>3</v>
      </c>
      <c r="C5" s="9" t="s">
        <v>4</v>
      </c>
      <c r="D5" s="10" t="s">
        <v>5</v>
      </c>
      <c r="E5" s="9" t="s">
        <v>7</v>
      </c>
      <c r="F5" s="10" t="s">
        <v>7</v>
      </c>
      <c r="G5" s="9" t="s">
        <v>499</v>
      </c>
      <c r="H5" s="9" t="s">
        <v>500</v>
      </c>
      <c r="I5" s="11" t="s">
        <v>7</v>
      </c>
      <c r="J5" s="9" t="s">
        <v>8</v>
      </c>
      <c r="K5" s="9" t="s">
        <v>404</v>
      </c>
      <c r="L5" s="101" t="s">
        <v>410</v>
      </c>
      <c r="M5" s="101" t="s">
        <v>6</v>
      </c>
      <c r="N5" s="101" t="s">
        <v>410</v>
      </c>
      <c r="O5" s="101" t="s">
        <v>6</v>
      </c>
      <c r="P5" s="101" t="s">
        <v>6</v>
      </c>
      <c r="Q5" s="101" t="s">
        <v>403</v>
      </c>
    </row>
    <row r="6" spans="1:17" ht="16.5" thickBot="1">
      <c r="A6" s="12"/>
      <c r="B6" s="12"/>
      <c r="C6" s="12"/>
      <c r="D6" s="13"/>
      <c r="E6" s="12">
        <v>2007</v>
      </c>
      <c r="F6" s="331">
        <v>2008</v>
      </c>
      <c r="G6" s="14" t="s">
        <v>405</v>
      </c>
      <c r="H6" s="14" t="s">
        <v>405</v>
      </c>
      <c r="I6" s="14" t="s">
        <v>433</v>
      </c>
      <c r="J6" s="14" t="s">
        <v>11</v>
      </c>
      <c r="K6" s="14" t="s">
        <v>405</v>
      </c>
      <c r="L6" s="105" t="s">
        <v>402</v>
      </c>
      <c r="M6" s="105" t="s">
        <v>402</v>
      </c>
      <c r="N6" s="105" t="s">
        <v>440</v>
      </c>
      <c r="O6" s="105" t="s">
        <v>440</v>
      </c>
      <c r="P6" s="105" t="s">
        <v>441</v>
      </c>
      <c r="Q6" s="105"/>
    </row>
    <row r="7" spans="1:17" ht="16.5" customHeight="1" thickTop="1">
      <c r="A7" s="15">
        <v>10</v>
      </c>
      <c r="B7" s="15"/>
      <c r="C7" s="15"/>
      <c r="D7" s="16" t="s">
        <v>12</v>
      </c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" customHeight="1">
      <c r="A8" s="15"/>
      <c r="B8" s="15"/>
      <c r="C8" s="15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5">
      <c r="A9" s="18"/>
      <c r="B9" s="18"/>
      <c r="C9" s="18">
        <v>1344</v>
      </c>
      <c r="D9" s="18" t="s">
        <v>13</v>
      </c>
      <c r="E9" s="228">
        <v>33.7</v>
      </c>
      <c r="F9" s="228">
        <v>79.1</v>
      </c>
      <c r="G9" s="228">
        <v>10</v>
      </c>
      <c r="H9" s="228">
        <v>10</v>
      </c>
      <c r="I9" s="228">
        <v>15.2</v>
      </c>
      <c r="J9" s="228">
        <f aca="true" t="shared" si="0" ref="J9:J45">(I9/H9)*100</f>
        <v>152</v>
      </c>
      <c r="K9" s="228">
        <v>16</v>
      </c>
      <c r="L9" s="228">
        <v>10</v>
      </c>
      <c r="M9" s="228">
        <v>15</v>
      </c>
      <c r="N9" s="228">
        <v>10</v>
      </c>
      <c r="O9" s="228">
        <v>15</v>
      </c>
      <c r="P9" s="228">
        <v>15</v>
      </c>
      <c r="Q9" s="19"/>
    </row>
    <row r="10" spans="1:17" ht="15">
      <c r="A10" s="18"/>
      <c r="B10" s="18"/>
      <c r="C10" s="18">
        <v>1361</v>
      </c>
      <c r="D10" s="18" t="s">
        <v>14</v>
      </c>
      <c r="E10" s="228">
        <v>20.5</v>
      </c>
      <c r="F10" s="228">
        <v>17.5</v>
      </c>
      <c r="G10" s="228">
        <v>20</v>
      </c>
      <c r="H10" s="228">
        <v>20</v>
      </c>
      <c r="I10" s="228">
        <v>13.1</v>
      </c>
      <c r="J10" s="228">
        <f t="shared" si="0"/>
        <v>65.5</v>
      </c>
      <c r="K10" s="228">
        <v>15</v>
      </c>
      <c r="L10" s="228">
        <v>20</v>
      </c>
      <c r="M10" s="228">
        <v>15</v>
      </c>
      <c r="N10" s="228">
        <v>20</v>
      </c>
      <c r="O10" s="228">
        <v>15</v>
      </c>
      <c r="P10" s="228">
        <v>15</v>
      </c>
      <c r="Q10" s="19"/>
    </row>
    <row r="11" spans="1:17" ht="15">
      <c r="A11" s="20"/>
      <c r="B11" s="20"/>
      <c r="C11" s="20">
        <v>4116</v>
      </c>
      <c r="D11" s="18" t="s">
        <v>15</v>
      </c>
      <c r="E11" s="229">
        <v>10</v>
      </c>
      <c r="F11" s="229">
        <v>109</v>
      </c>
      <c r="G11" s="229">
        <v>0</v>
      </c>
      <c r="H11" s="229">
        <v>15</v>
      </c>
      <c r="I11" s="229">
        <v>15</v>
      </c>
      <c r="J11" s="228">
        <f t="shared" si="0"/>
        <v>100</v>
      </c>
      <c r="K11" s="229">
        <v>15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1"/>
    </row>
    <row r="12" spans="1:17" ht="15" hidden="1">
      <c r="A12" s="20"/>
      <c r="B12" s="20"/>
      <c r="C12" s="20">
        <v>4116</v>
      </c>
      <c r="D12" s="18" t="s">
        <v>16</v>
      </c>
      <c r="E12" s="229"/>
      <c r="F12" s="229"/>
      <c r="G12" s="229">
        <v>0</v>
      </c>
      <c r="H12" s="229">
        <v>0</v>
      </c>
      <c r="I12" s="229"/>
      <c r="J12" s="228" t="e">
        <f t="shared" si="0"/>
        <v>#DIV/0!</v>
      </c>
      <c r="K12" s="229"/>
      <c r="L12" s="229"/>
      <c r="M12" s="229"/>
      <c r="N12" s="229"/>
      <c r="O12" s="229"/>
      <c r="P12" s="229"/>
      <c r="Q12" s="21"/>
    </row>
    <row r="13" spans="1:17" ht="15">
      <c r="A13" s="20"/>
      <c r="B13" s="20"/>
      <c r="C13" s="20">
        <v>4121</v>
      </c>
      <c r="D13" s="20" t="s">
        <v>17</v>
      </c>
      <c r="E13" s="229">
        <v>695.2</v>
      </c>
      <c r="F13" s="229">
        <v>1429.3</v>
      </c>
      <c r="G13" s="229">
        <v>370.7</v>
      </c>
      <c r="H13" s="229">
        <v>370.7</v>
      </c>
      <c r="I13" s="229">
        <v>366.2</v>
      </c>
      <c r="J13" s="228">
        <f t="shared" si="0"/>
        <v>98.78608038845428</v>
      </c>
      <c r="K13" s="229">
        <v>367</v>
      </c>
      <c r="L13" s="229">
        <v>200</v>
      </c>
      <c r="M13" s="229">
        <v>220</v>
      </c>
      <c r="N13" s="229">
        <v>200</v>
      </c>
      <c r="O13" s="229">
        <v>200</v>
      </c>
      <c r="P13" s="229">
        <v>200</v>
      </c>
      <c r="Q13" s="21"/>
    </row>
    <row r="14" spans="1:17" ht="15" hidden="1">
      <c r="A14" s="20"/>
      <c r="B14" s="20"/>
      <c r="C14" s="20">
        <v>4122</v>
      </c>
      <c r="D14" s="20" t="s">
        <v>18</v>
      </c>
      <c r="E14" s="230"/>
      <c r="F14" s="230"/>
      <c r="G14" s="230">
        <v>0</v>
      </c>
      <c r="H14" s="230">
        <v>0</v>
      </c>
      <c r="I14" s="229"/>
      <c r="J14" s="228" t="e">
        <f t="shared" si="0"/>
        <v>#DIV/0!</v>
      </c>
      <c r="K14" s="230"/>
      <c r="L14" s="229"/>
      <c r="M14" s="230"/>
      <c r="N14" s="229"/>
      <c r="O14" s="230"/>
      <c r="P14" s="229"/>
      <c r="Q14" s="22"/>
    </row>
    <row r="15" spans="1:17" ht="15" hidden="1">
      <c r="A15" s="20"/>
      <c r="B15" s="20">
        <v>3111</v>
      </c>
      <c r="C15" s="20">
        <v>2122</v>
      </c>
      <c r="D15" s="20" t="s">
        <v>19</v>
      </c>
      <c r="E15" s="230"/>
      <c r="F15" s="230"/>
      <c r="G15" s="230">
        <v>0</v>
      </c>
      <c r="H15" s="230">
        <v>0</v>
      </c>
      <c r="I15" s="229"/>
      <c r="J15" s="228" t="e">
        <f t="shared" si="0"/>
        <v>#DIV/0!</v>
      </c>
      <c r="K15" s="230"/>
      <c r="L15" s="229"/>
      <c r="M15" s="230"/>
      <c r="N15" s="229"/>
      <c r="O15" s="230"/>
      <c r="P15" s="229"/>
      <c r="Q15" s="22"/>
    </row>
    <row r="16" spans="1:17" ht="15" hidden="1">
      <c r="A16" s="20"/>
      <c r="B16" s="20">
        <v>3111</v>
      </c>
      <c r="C16" s="20">
        <v>2324</v>
      </c>
      <c r="D16" s="20" t="s">
        <v>20</v>
      </c>
      <c r="E16" s="230"/>
      <c r="F16" s="230"/>
      <c r="G16" s="230">
        <v>0</v>
      </c>
      <c r="H16" s="230">
        <v>0</v>
      </c>
      <c r="I16" s="228"/>
      <c r="J16" s="228" t="e">
        <f t="shared" si="0"/>
        <v>#DIV/0!</v>
      </c>
      <c r="K16" s="230"/>
      <c r="L16" s="228"/>
      <c r="M16" s="230"/>
      <c r="N16" s="228"/>
      <c r="O16" s="230"/>
      <c r="P16" s="229"/>
      <c r="Q16" s="22"/>
    </row>
    <row r="17" spans="1:17" ht="15">
      <c r="A17" s="20"/>
      <c r="B17" s="20"/>
      <c r="C17" s="20">
        <v>4122</v>
      </c>
      <c r="D17" s="20" t="s">
        <v>18</v>
      </c>
      <c r="E17" s="230">
        <v>89.2</v>
      </c>
      <c r="F17" s="230">
        <v>0</v>
      </c>
      <c r="G17" s="230">
        <v>0</v>
      </c>
      <c r="H17" s="230">
        <v>60</v>
      </c>
      <c r="I17" s="229">
        <v>60</v>
      </c>
      <c r="J17" s="228">
        <f t="shared" si="0"/>
        <v>100</v>
      </c>
      <c r="K17" s="230">
        <v>60</v>
      </c>
      <c r="L17" s="229">
        <v>0</v>
      </c>
      <c r="M17" s="230">
        <v>0</v>
      </c>
      <c r="N17" s="229">
        <v>0</v>
      </c>
      <c r="O17" s="230">
        <v>0</v>
      </c>
      <c r="P17" s="229">
        <v>0</v>
      </c>
      <c r="Q17" s="22"/>
    </row>
    <row r="18" spans="1:17" ht="15">
      <c r="A18" s="20"/>
      <c r="B18" s="20">
        <v>2143</v>
      </c>
      <c r="C18" s="20">
        <v>2111</v>
      </c>
      <c r="D18" s="20" t="s">
        <v>21</v>
      </c>
      <c r="E18" s="229">
        <v>69</v>
      </c>
      <c r="F18" s="229">
        <v>36.5</v>
      </c>
      <c r="G18" s="229">
        <v>73</v>
      </c>
      <c r="H18" s="229">
        <v>73</v>
      </c>
      <c r="I18" s="229">
        <v>208.8</v>
      </c>
      <c r="J18" s="228">
        <f t="shared" si="0"/>
        <v>286.027397260274</v>
      </c>
      <c r="K18" s="229">
        <v>350</v>
      </c>
      <c r="L18" s="229">
        <v>100</v>
      </c>
      <c r="M18" s="229">
        <v>300</v>
      </c>
      <c r="N18" s="229">
        <v>100</v>
      </c>
      <c r="O18" s="229">
        <v>300</v>
      </c>
      <c r="P18" s="229">
        <v>300</v>
      </c>
      <c r="Q18" s="21"/>
    </row>
    <row r="19" spans="1:17" ht="15">
      <c r="A19" s="20"/>
      <c r="B19" s="20">
        <v>2143</v>
      </c>
      <c r="C19" s="20">
        <v>2112</v>
      </c>
      <c r="D19" s="20" t="s">
        <v>22</v>
      </c>
      <c r="E19" s="229">
        <f>209.8+46.3</f>
        <v>256.1</v>
      </c>
      <c r="F19" s="229">
        <v>157.6</v>
      </c>
      <c r="G19" s="229">
        <v>172</v>
      </c>
      <c r="H19" s="229">
        <v>172</v>
      </c>
      <c r="I19" s="229">
        <v>318.7</v>
      </c>
      <c r="J19" s="228">
        <f t="shared" si="0"/>
        <v>185.2906976744186</v>
      </c>
      <c r="K19" s="229">
        <v>400</v>
      </c>
      <c r="L19" s="229">
        <v>150</v>
      </c>
      <c r="M19" s="229">
        <v>450</v>
      </c>
      <c r="N19" s="229">
        <v>150</v>
      </c>
      <c r="O19" s="229">
        <v>450</v>
      </c>
      <c r="P19" s="229">
        <v>450</v>
      </c>
      <c r="Q19" s="21"/>
    </row>
    <row r="20" spans="1:17" ht="15" hidden="1">
      <c r="A20" s="20"/>
      <c r="B20" s="20">
        <v>2143</v>
      </c>
      <c r="C20" s="20">
        <v>2329</v>
      </c>
      <c r="D20" s="20" t="s">
        <v>23</v>
      </c>
      <c r="E20" s="229"/>
      <c r="F20" s="229"/>
      <c r="G20" s="229">
        <v>0</v>
      </c>
      <c r="H20" s="229">
        <v>0</v>
      </c>
      <c r="I20" s="229"/>
      <c r="J20" s="228" t="e">
        <f t="shared" si="0"/>
        <v>#DIV/0!</v>
      </c>
      <c r="K20" s="229"/>
      <c r="L20" s="229"/>
      <c r="M20" s="229"/>
      <c r="N20" s="229"/>
      <c r="O20" s="229"/>
      <c r="P20" s="229"/>
      <c r="Q20" s="21"/>
    </row>
    <row r="21" spans="1:17" ht="15">
      <c r="A21" s="20"/>
      <c r="B21" s="20">
        <v>3113</v>
      </c>
      <c r="C21" s="20">
        <v>2122</v>
      </c>
      <c r="D21" s="20" t="s">
        <v>431</v>
      </c>
      <c r="E21" s="229">
        <v>112.5</v>
      </c>
      <c r="F21" s="229">
        <v>0</v>
      </c>
      <c r="G21" s="229">
        <v>0</v>
      </c>
      <c r="H21" s="229">
        <v>380</v>
      </c>
      <c r="I21" s="229">
        <v>380</v>
      </c>
      <c r="J21" s="228">
        <f t="shared" si="0"/>
        <v>100</v>
      </c>
      <c r="K21" s="229">
        <v>380</v>
      </c>
      <c r="L21" s="229">
        <v>0</v>
      </c>
      <c r="M21" s="229">
        <v>330</v>
      </c>
      <c r="N21" s="229">
        <v>0</v>
      </c>
      <c r="O21" s="229">
        <v>0</v>
      </c>
      <c r="P21" s="229">
        <v>0</v>
      </c>
      <c r="Q21" s="21"/>
    </row>
    <row r="22" spans="1:17" ht="15">
      <c r="A22" s="20"/>
      <c r="B22" s="20">
        <v>3113</v>
      </c>
      <c r="C22" s="20">
        <v>2329</v>
      </c>
      <c r="D22" s="20" t="s">
        <v>24</v>
      </c>
      <c r="E22" s="229">
        <v>0</v>
      </c>
      <c r="F22" s="229">
        <v>0</v>
      </c>
      <c r="G22" s="229">
        <v>119.3</v>
      </c>
      <c r="H22" s="229">
        <v>119.3</v>
      </c>
      <c r="I22" s="229">
        <v>0</v>
      </c>
      <c r="J22" s="228">
        <f t="shared" si="0"/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1"/>
    </row>
    <row r="23" spans="1:17" ht="15">
      <c r="A23" s="20"/>
      <c r="B23" s="20">
        <v>3313</v>
      </c>
      <c r="C23" s="20">
        <v>2132</v>
      </c>
      <c r="D23" s="20" t="s">
        <v>25</v>
      </c>
      <c r="E23" s="229">
        <v>350</v>
      </c>
      <c r="F23" s="229">
        <v>300</v>
      </c>
      <c r="G23" s="229">
        <v>350</v>
      </c>
      <c r="H23" s="229">
        <v>350</v>
      </c>
      <c r="I23" s="229">
        <v>100</v>
      </c>
      <c r="J23" s="228">
        <f t="shared" si="0"/>
        <v>28.57142857142857</v>
      </c>
      <c r="K23" s="229">
        <v>350</v>
      </c>
      <c r="L23" s="229">
        <v>350</v>
      </c>
      <c r="M23" s="229">
        <v>350</v>
      </c>
      <c r="N23" s="229">
        <v>350</v>
      </c>
      <c r="O23" s="229">
        <v>350</v>
      </c>
      <c r="P23" s="229">
        <v>350</v>
      </c>
      <c r="Q23" s="21"/>
    </row>
    <row r="24" spans="1:17" ht="15">
      <c r="A24" s="18"/>
      <c r="B24" s="18">
        <v>3313</v>
      </c>
      <c r="C24" s="18">
        <v>2324</v>
      </c>
      <c r="D24" s="18" t="s">
        <v>26</v>
      </c>
      <c r="E24" s="228">
        <v>21.2</v>
      </c>
      <c r="F24" s="228">
        <v>302.4</v>
      </c>
      <c r="G24" s="228">
        <v>0</v>
      </c>
      <c r="H24" s="228">
        <v>0</v>
      </c>
      <c r="I24" s="228">
        <v>18.5</v>
      </c>
      <c r="J24" s="228" t="e">
        <f t="shared" si="0"/>
        <v>#DIV/0!</v>
      </c>
      <c r="K24" s="228">
        <v>18.5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19"/>
    </row>
    <row r="25" spans="1:17" ht="15" hidden="1">
      <c r="A25" s="18"/>
      <c r="B25" s="18">
        <v>3392</v>
      </c>
      <c r="C25" s="18">
        <v>2329</v>
      </c>
      <c r="D25" s="18" t="s">
        <v>27</v>
      </c>
      <c r="E25" s="228"/>
      <c r="F25" s="228"/>
      <c r="G25" s="228"/>
      <c r="H25" s="228"/>
      <c r="I25" s="228"/>
      <c r="J25" s="228" t="e">
        <f t="shared" si="0"/>
        <v>#DIV/0!</v>
      </c>
      <c r="K25" s="228"/>
      <c r="L25" s="228"/>
      <c r="M25" s="228"/>
      <c r="N25" s="228"/>
      <c r="O25" s="228"/>
      <c r="P25" s="228"/>
      <c r="Q25" s="19"/>
    </row>
    <row r="26" spans="1:17" ht="15" hidden="1">
      <c r="A26" s="20"/>
      <c r="B26" s="20">
        <v>3314</v>
      </c>
      <c r="C26" s="20">
        <v>2229</v>
      </c>
      <c r="D26" s="20" t="s">
        <v>28</v>
      </c>
      <c r="E26" s="229"/>
      <c r="F26" s="229"/>
      <c r="G26" s="229"/>
      <c r="H26" s="229"/>
      <c r="I26" s="229"/>
      <c r="J26" s="228" t="e">
        <f t="shared" si="0"/>
        <v>#DIV/0!</v>
      </c>
      <c r="K26" s="229"/>
      <c r="L26" s="229"/>
      <c r="M26" s="229"/>
      <c r="N26" s="229"/>
      <c r="O26" s="229"/>
      <c r="P26" s="229"/>
      <c r="Q26" s="21"/>
    </row>
    <row r="27" spans="1:17" ht="15" hidden="1">
      <c r="A27" s="20"/>
      <c r="B27" s="20">
        <v>3315</v>
      </c>
      <c r="C27" s="20">
        <v>2322</v>
      </c>
      <c r="D27" s="20" t="s">
        <v>29</v>
      </c>
      <c r="E27" s="229"/>
      <c r="F27" s="229"/>
      <c r="G27" s="229"/>
      <c r="H27" s="229"/>
      <c r="I27" s="229"/>
      <c r="J27" s="228" t="e">
        <f t="shared" si="0"/>
        <v>#DIV/0!</v>
      </c>
      <c r="K27" s="229"/>
      <c r="L27" s="229"/>
      <c r="M27" s="229"/>
      <c r="N27" s="229"/>
      <c r="O27" s="229"/>
      <c r="P27" s="229"/>
      <c r="Q27" s="21"/>
    </row>
    <row r="28" spans="1:17" ht="15" hidden="1">
      <c r="A28" s="20"/>
      <c r="B28" s="20">
        <v>3319</v>
      </c>
      <c r="C28" s="20">
        <v>2324</v>
      </c>
      <c r="D28" s="20" t="s">
        <v>30</v>
      </c>
      <c r="E28" s="229"/>
      <c r="F28" s="229"/>
      <c r="G28" s="229"/>
      <c r="H28" s="229"/>
      <c r="I28" s="229"/>
      <c r="J28" s="228" t="e">
        <f t="shared" si="0"/>
        <v>#DIV/0!</v>
      </c>
      <c r="K28" s="229"/>
      <c r="L28" s="229"/>
      <c r="M28" s="229"/>
      <c r="N28" s="229"/>
      <c r="O28" s="229"/>
      <c r="P28" s="229"/>
      <c r="Q28" s="21"/>
    </row>
    <row r="29" spans="1:17" ht="15">
      <c r="A29" s="20"/>
      <c r="B29" s="20">
        <v>3349</v>
      </c>
      <c r="C29" s="20">
        <v>2111</v>
      </c>
      <c r="D29" s="20" t="s">
        <v>31</v>
      </c>
      <c r="E29" s="229">
        <v>0</v>
      </c>
      <c r="F29" s="229">
        <v>1413.4</v>
      </c>
      <c r="G29" s="229">
        <v>1200</v>
      </c>
      <c r="H29" s="229">
        <v>1200</v>
      </c>
      <c r="I29" s="229">
        <v>1136.8</v>
      </c>
      <c r="J29" s="228">
        <f t="shared" si="0"/>
        <v>94.73333333333332</v>
      </c>
      <c r="K29" s="229">
        <v>1300</v>
      </c>
      <c r="L29" s="229">
        <v>1200</v>
      </c>
      <c r="M29" s="229">
        <v>1300</v>
      </c>
      <c r="N29" s="229">
        <v>1200</v>
      </c>
      <c r="O29" s="229">
        <v>1300</v>
      </c>
      <c r="P29" s="229">
        <v>1300</v>
      </c>
      <c r="Q29" s="21"/>
    </row>
    <row r="30" spans="1:17" ht="15">
      <c r="A30" s="20"/>
      <c r="B30" s="20">
        <v>3392</v>
      </c>
      <c r="C30" s="20">
        <v>3121</v>
      </c>
      <c r="D30" s="20" t="s">
        <v>432</v>
      </c>
      <c r="E30" s="229">
        <v>300</v>
      </c>
      <c r="F30" s="229">
        <v>0</v>
      </c>
      <c r="G30" s="229">
        <v>0</v>
      </c>
      <c r="H30" s="229">
        <v>50</v>
      </c>
      <c r="I30" s="229">
        <v>50</v>
      </c>
      <c r="J30" s="228"/>
      <c r="K30" s="229">
        <v>50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1"/>
    </row>
    <row r="31" spans="1:17" ht="15">
      <c r="A31" s="20"/>
      <c r="B31" s="20">
        <v>3399</v>
      </c>
      <c r="C31" s="20">
        <v>2111</v>
      </c>
      <c r="D31" s="20" t="s">
        <v>32</v>
      </c>
      <c r="E31" s="229">
        <v>165.8</v>
      </c>
      <c r="F31" s="229">
        <f>149.1+98.2</f>
        <v>247.3</v>
      </c>
      <c r="G31" s="229">
        <v>150</v>
      </c>
      <c r="H31" s="229">
        <v>150</v>
      </c>
      <c r="I31" s="229">
        <v>200.8</v>
      </c>
      <c r="J31" s="228">
        <f t="shared" si="0"/>
        <v>133.86666666666667</v>
      </c>
      <c r="K31" s="229">
        <v>220</v>
      </c>
      <c r="L31" s="229">
        <v>160</v>
      </c>
      <c r="M31" s="229">
        <v>200</v>
      </c>
      <c r="N31" s="229">
        <v>160</v>
      </c>
      <c r="O31" s="229">
        <v>160</v>
      </c>
      <c r="P31" s="229">
        <v>160</v>
      </c>
      <c r="Q31" s="21"/>
    </row>
    <row r="32" spans="1:17" ht="15">
      <c r="A32" s="20"/>
      <c r="B32" s="20">
        <v>3399</v>
      </c>
      <c r="C32" s="20">
        <v>2133</v>
      </c>
      <c r="D32" s="20" t="s">
        <v>33</v>
      </c>
      <c r="E32" s="229">
        <v>0</v>
      </c>
      <c r="F32" s="229">
        <v>31.6</v>
      </c>
      <c r="G32" s="229">
        <v>0</v>
      </c>
      <c r="H32" s="229">
        <v>0</v>
      </c>
      <c r="I32" s="229">
        <v>61</v>
      </c>
      <c r="J32" s="228" t="e">
        <f t="shared" si="0"/>
        <v>#DIV/0!</v>
      </c>
      <c r="K32" s="229">
        <v>61</v>
      </c>
      <c r="L32" s="229">
        <v>0</v>
      </c>
      <c r="M32" s="229">
        <v>50</v>
      </c>
      <c r="N32" s="229">
        <v>0</v>
      </c>
      <c r="O32" s="229">
        <v>0</v>
      </c>
      <c r="P32" s="229">
        <v>0</v>
      </c>
      <c r="Q32" s="21"/>
    </row>
    <row r="33" spans="1:17" ht="15">
      <c r="A33" s="20"/>
      <c r="B33" s="20">
        <v>3399</v>
      </c>
      <c r="C33" s="20">
        <v>2321</v>
      </c>
      <c r="D33" s="20" t="s">
        <v>34</v>
      </c>
      <c r="E33" s="229">
        <v>0</v>
      </c>
      <c r="F33" s="229">
        <v>27</v>
      </c>
      <c r="G33" s="229">
        <v>0</v>
      </c>
      <c r="H33" s="229">
        <v>0</v>
      </c>
      <c r="I33" s="229">
        <v>10</v>
      </c>
      <c r="J33" s="228" t="e">
        <f t="shared" si="0"/>
        <v>#DIV/0!</v>
      </c>
      <c r="K33" s="229">
        <v>10</v>
      </c>
      <c r="L33" s="229">
        <v>0</v>
      </c>
      <c r="M33" s="229">
        <v>20</v>
      </c>
      <c r="N33" s="229">
        <v>0</v>
      </c>
      <c r="O33" s="229">
        <v>0</v>
      </c>
      <c r="P33" s="229">
        <v>0</v>
      </c>
      <c r="Q33" s="21"/>
    </row>
    <row r="34" spans="1:17" ht="15" hidden="1">
      <c r="A34" s="20"/>
      <c r="B34" s="20">
        <v>3399</v>
      </c>
      <c r="C34" s="20">
        <v>2324</v>
      </c>
      <c r="D34" s="20" t="s">
        <v>35</v>
      </c>
      <c r="E34" s="229"/>
      <c r="F34" s="229"/>
      <c r="G34" s="229">
        <v>0</v>
      </c>
      <c r="H34" s="229">
        <v>0</v>
      </c>
      <c r="I34" s="229"/>
      <c r="J34" s="228" t="e">
        <f t="shared" si="0"/>
        <v>#DIV/0!</v>
      </c>
      <c r="K34" s="229"/>
      <c r="L34" s="229"/>
      <c r="M34" s="229"/>
      <c r="N34" s="229"/>
      <c r="O34" s="229"/>
      <c r="P34" s="229"/>
      <c r="Q34" s="21"/>
    </row>
    <row r="35" spans="1:17" ht="15" hidden="1">
      <c r="A35" s="18"/>
      <c r="B35" s="18">
        <v>3319</v>
      </c>
      <c r="C35" s="18">
        <v>2324</v>
      </c>
      <c r="D35" s="18" t="s">
        <v>36</v>
      </c>
      <c r="E35" s="229"/>
      <c r="F35" s="229"/>
      <c r="G35" s="229"/>
      <c r="H35" s="229"/>
      <c r="I35" s="229"/>
      <c r="J35" s="228" t="e">
        <f t="shared" si="0"/>
        <v>#DIV/0!</v>
      </c>
      <c r="K35" s="229"/>
      <c r="L35" s="229"/>
      <c r="M35" s="229"/>
      <c r="N35" s="229"/>
      <c r="O35" s="229"/>
      <c r="P35" s="229"/>
      <c r="Q35" s="21"/>
    </row>
    <row r="36" spans="1:17" ht="15" hidden="1">
      <c r="A36" s="18"/>
      <c r="B36" s="18">
        <v>3392</v>
      </c>
      <c r="C36" s="18">
        <v>2324</v>
      </c>
      <c r="D36" s="18" t="s">
        <v>36</v>
      </c>
      <c r="E36" s="229"/>
      <c r="F36" s="229"/>
      <c r="G36" s="229"/>
      <c r="H36" s="229"/>
      <c r="I36" s="229"/>
      <c r="J36" s="228" t="e">
        <f t="shared" si="0"/>
        <v>#DIV/0!</v>
      </c>
      <c r="K36" s="229"/>
      <c r="L36" s="229"/>
      <c r="M36" s="229"/>
      <c r="N36" s="229"/>
      <c r="O36" s="229"/>
      <c r="P36" s="229"/>
      <c r="Q36" s="21"/>
    </row>
    <row r="37" spans="1:17" ht="15" hidden="1">
      <c r="A37" s="18"/>
      <c r="B37" s="18">
        <v>3412</v>
      </c>
      <c r="C37" s="18">
        <v>2122</v>
      </c>
      <c r="D37" s="18" t="s">
        <v>37</v>
      </c>
      <c r="E37" s="229"/>
      <c r="F37" s="229"/>
      <c r="G37" s="229"/>
      <c r="H37" s="229"/>
      <c r="I37" s="229"/>
      <c r="J37" s="228" t="e">
        <f t="shared" si="0"/>
        <v>#DIV/0!</v>
      </c>
      <c r="K37" s="229"/>
      <c r="L37" s="229"/>
      <c r="M37" s="229"/>
      <c r="N37" s="229"/>
      <c r="O37" s="229"/>
      <c r="P37" s="229"/>
      <c r="Q37" s="21"/>
    </row>
    <row r="38" spans="1:17" ht="15" hidden="1">
      <c r="A38" s="20"/>
      <c r="B38" s="20">
        <v>3412</v>
      </c>
      <c r="C38" s="20">
        <v>2324</v>
      </c>
      <c r="D38" s="20" t="s">
        <v>38</v>
      </c>
      <c r="E38" s="229"/>
      <c r="F38" s="229"/>
      <c r="G38" s="229"/>
      <c r="H38" s="229"/>
      <c r="I38" s="229"/>
      <c r="J38" s="228" t="e">
        <f t="shared" si="0"/>
        <v>#DIV/0!</v>
      </c>
      <c r="K38" s="229"/>
      <c r="L38" s="229"/>
      <c r="M38" s="229"/>
      <c r="N38" s="229"/>
      <c r="O38" s="229"/>
      <c r="P38" s="229"/>
      <c r="Q38" s="21"/>
    </row>
    <row r="39" spans="1:17" ht="15" hidden="1">
      <c r="A39" s="20"/>
      <c r="B39" s="20">
        <v>3412</v>
      </c>
      <c r="C39" s="20">
        <v>2329</v>
      </c>
      <c r="D39" s="20" t="s">
        <v>39</v>
      </c>
      <c r="E39" s="229"/>
      <c r="F39" s="229"/>
      <c r="G39" s="229"/>
      <c r="H39" s="229"/>
      <c r="I39" s="229"/>
      <c r="J39" s="228" t="e">
        <f t="shared" si="0"/>
        <v>#DIV/0!</v>
      </c>
      <c r="K39" s="229"/>
      <c r="L39" s="229"/>
      <c r="M39" s="229"/>
      <c r="N39" s="229"/>
      <c r="O39" s="229"/>
      <c r="P39" s="229"/>
      <c r="Q39" s="21"/>
    </row>
    <row r="40" spans="1:17" ht="15">
      <c r="A40" s="20"/>
      <c r="B40" s="20">
        <v>3419</v>
      </c>
      <c r="C40" s="20">
        <v>2132</v>
      </c>
      <c r="D40" s="20" t="s">
        <v>40</v>
      </c>
      <c r="E40" s="229">
        <v>700</v>
      </c>
      <c r="F40" s="229">
        <v>900</v>
      </c>
      <c r="G40" s="229">
        <v>700</v>
      </c>
      <c r="H40" s="229">
        <v>700</v>
      </c>
      <c r="I40" s="229">
        <v>300</v>
      </c>
      <c r="J40" s="228">
        <f t="shared" si="0"/>
        <v>42.857142857142854</v>
      </c>
      <c r="K40" s="229">
        <v>500</v>
      </c>
      <c r="L40" s="229">
        <v>700</v>
      </c>
      <c r="M40" s="229">
        <v>700</v>
      </c>
      <c r="N40" s="229">
        <v>700</v>
      </c>
      <c r="O40" s="229">
        <v>700</v>
      </c>
      <c r="P40" s="229">
        <v>700</v>
      </c>
      <c r="Q40" s="21"/>
    </row>
    <row r="41" spans="1:17" ht="15" hidden="1">
      <c r="A41" s="20"/>
      <c r="B41" s="20">
        <v>3419</v>
      </c>
      <c r="C41" s="20">
        <v>2229</v>
      </c>
      <c r="D41" s="20" t="s">
        <v>41</v>
      </c>
      <c r="E41" s="229"/>
      <c r="F41" s="229"/>
      <c r="G41" s="229"/>
      <c r="H41" s="229"/>
      <c r="I41" s="229"/>
      <c r="J41" s="228" t="e">
        <f t="shared" si="0"/>
        <v>#DIV/0!</v>
      </c>
      <c r="K41" s="229"/>
      <c r="L41" s="229"/>
      <c r="M41" s="229"/>
      <c r="N41" s="229"/>
      <c r="O41" s="229"/>
      <c r="P41" s="229"/>
      <c r="Q41" s="21"/>
    </row>
    <row r="42" spans="1:17" ht="15">
      <c r="A42" s="20"/>
      <c r="B42" s="20">
        <v>3421</v>
      </c>
      <c r="C42" s="20">
        <v>2132</v>
      </c>
      <c r="D42" s="20" t="s">
        <v>42</v>
      </c>
      <c r="E42" s="229">
        <v>80</v>
      </c>
      <c r="F42" s="229">
        <v>80</v>
      </c>
      <c r="G42" s="229">
        <v>80</v>
      </c>
      <c r="H42" s="229">
        <v>30</v>
      </c>
      <c r="I42" s="229">
        <v>30</v>
      </c>
      <c r="J42" s="228">
        <f t="shared" si="0"/>
        <v>100</v>
      </c>
      <c r="K42" s="229">
        <v>50</v>
      </c>
      <c r="L42" s="229">
        <v>80</v>
      </c>
      <c r="M42" s="229">
        <v>50</v>
      </c>
      <c r="N42" s="229">
        <v>80</v>
      </c>
      <c r="O42" s="229">
        <v>50</v>
      </c>
      <c r="P42" s="229">
        <v>50</v>
      </c>
      <c r="Q42" s="21"/>
    </row>
    <row r="43" spans="1:17" ht="15" hidden="1">
      <c r="A43" s="20"/>
      <c r="B43" s="20">
        <v>3421</v>
      </c>
      <c r="C43" s="20">
        <v>2229</v>
      </c>
      <c r="D43" s="20" t="s">
        <v>43</v>
      </c>
      <c r="E43" s="229"/>
      <c r="F43" s="229"/>
      <c r="G43" s="229"/>
      <c r="H43" s="229"/>
      <c r="I43" s="229"/>
      <c r="J43" s="228" t="e">
        <f t="shared" si="0"/>
        <v>#DIV/0!</v>
      </c>
      <c r="K43" s="229"/>
      <c r="L43" s="229"/>
      <c r="M43" s="229"/>
      <c r="N43" s="229"/>
      <c r="O43" s="229"/>
      <c r="P43" s="229"/>
      <c r="Q43" s="21"/>
    </row>
    <row r="44" spans="1:17" ht="15">
      <c r="A44" s="20"/>
      <c r="B44" s="20">
        <v>3421</v>
      </c>
      <c r="C44" s="20">
        <v>2324</v>
      </c>
      <c r="D44" s="20" t="s">
        <v>44</v>
      </c>
      <c r="E44" s="229">
        <v>156.9</v>
      </c>
      <c r="F44" s="229">
        <v>140.6</v>
      </c>
      <c r="G44" s="229">
        <v>0</v>
      </c>
      <c r="H44" s="229">
        <v>195</v>
      </c>
      <c r="I44" s="229">
        <v>203</v>
      </c>
      <c r="J44" s="228">
        <f t="shared" si="0"/>
        <v>104.10256410256412</v>
      </c>
      <c r="K44" s="229">
        <v>203</v>
      </c>
      <c r="L44" s="229">
        <v>0</v>
      </c>
      <c r="M44" s="229">
        <v>0</v>
      </c>
      <c r="N44" s="229">
        <v>0</v>
      </c>
      <c r="O44" s="229">
        <v>0</v>
      </c>
      <c r="P44" s="229">
        <v>0</v>
      </c>
      <c r="Q44" s="21"/>
    </row>
    <row r="45" spans="1:17" ht="15">
      <c r="A45" s="20"/>
      <c r="B45" s="20">
        <v>6223</v>
      </c>
      <c r="C45" s="20">
        <v>2324</v>
      </c>
      <c r="D45" s="20" t="s">
        <v>45</v>
      </c>
      <c r="E45" s="229">
        <v>0</v>
      </c>
      <c r="F45" s="229">
        <v>0</v>
      </c>
      <c r="G45" s="229">
        <v>0</v>
      </c>
      <c r="H45" s="229">
        <v>0</v>
      </c>
      <c r="I45" s="229">
        <v>8.8</v>
      </c>
      <c r="J45" s="228" t="e">
        <f t="shared" si="0"/>
        <v>#DIV/0!</v>
      </c>
      <c r="K45" s="229">
        <v>8.8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1"/>
    </row>
    <row r="46" spans="1:17" ht="15" customHeight="1" thickBot="1">
      <c r="A46" s="20"/>
      <c r="B46" s="20"/>
      <c r="C46" s="20"/>
      <c r="D46" s="20" t="s">
        <v>494</v>
      </c>
      <c r="E46" s="229">
        <f>12.5+1.8+123.9+50+8.2+21.8+49.5+71.2</f>
        <v>338.90000000000003</v>
      </c>
      <c r="F46" s="229">
        <v>0</v>
      </c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1"/>
    </row>
    <row r="47" spans="1:17" s="26" customFormat="1" ht="21.75" customHeight="1" thickBot="1" thickTop="1">
      <c r="A47" s="23"/>
      <c r="B47" s="23"/>
      <c r="C47" s="23"/>
      <c r="D47" s="24" t="s">
        <v>46</v>
      </c>
      <c r="E47" s="231">
        <f>SUM(E9:E46)</f>
        <v>3399.0000000000005</v>
      </c>
      <c r="F47" s="231">
        <f>SUM(F9:F46)</f>
        <v>5271.300000000001</v>
      </c>
      <c r="G47" s="231">
        <f>SUM(G9:G46)</f>
        <v>3245</v>
      </c>
      <c r="H47" s="231">
        <f>SUM(H9:H46)</f>
        <v>3895</v>
      </c>
      <c r="I47" s="231">
        <f>SUM(I9:I46)</f>
        <v>3495.9000000000005</v>
      </c>
      <c r="J47" s="231">
        <f>(I47/H47)*100</f>
        <v>89.75353016688064</v>
      </c>
      <c r="K47" s="231">
        <f aca="true" t="shared" si="1" ref="K47:P47">SUM(K9:K46)</f>
        <v>4374.3</v>
      </c>
      <c r="L47" s="231">
        <f t="shared" si="1"/>
        <v>2970</v>
      </c>
      <c r="M47" s="231">
        <f t="shared" si="1"/>
        <v>4000</v>
      </c>
      <c r="N47" s="231">
        <f t="shared" si="1"/>
        <v>2970</v>
      </c>
      <c r="O47" s="231">
        <f t="shared" si="1"/>
        <v>3540</v>
      </c>
      <c r="P47" s="231">
        <f t="shared" si="1"/>
        <v>3540</v>
      </c>
      <c r="Q47" s="25"/>
    </row>
    <row r="48" spans="1:17" ht="15" customHeight="1">
      <c r="A48" s="26"/>
      <c r="B48" s="26"/>
      <c r="C48" s="26"/>
      <c r="D48" s="26"/>
      <c r="E48" s="26"/>
      <c r="F48" s="26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6"/>
    </row>
    <row r="49" spans="1:17" ht="15" customHeight="1" thickBot="1">
      <c r="A49" s="26"/>
      <c r="B49" s="26"/>
      <c r="C49" s="26"/>
      <c r="D49" s="26"/>
      <c r="E49" s="26"/>
      <c r="F49" s="26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6"/>
    </row>
    <row r="50" spans="1:17" ht="15.75">
      <c r="A50" s="61" t="s">
        <v>2</v>
      </c>
      <c r="B50" s="9" t="s">
        <v>3</v>
      </c>
      <c r="C50" s="9" t="s">
        <v>4</v>
      </c>
      <c r="D50" s="313" t="s">
        <v>5</v>
      </c>
      <c r="E50" s="313" t="s">
        <v>7</v>
      </c>
      <c r="F50" s="10" t="s">
        <v>7</v>
      </c>
      <c r="G50" s="9" t="s">
        <v>499</v>
      </c>
      <c r="H50" s="9" t="s">
        <v>500</v>
      </c>
      <c r="I50" s="11" t="s">
        <v>7</v>
      </c>
      <c r="J50" s="9" t="s">
        <v>8</v>
      </c>
      <c r="K50" s="9" t="s">
        <v>404</v>
      </c>
      <c r="L50" s="101" t="s">
        <v>410</v>
      </c>
      <c r="M50" s="101" t="s">
        <v>6</v>
      </c>
      <c r="N50" s="101" t="s">
        <v>410</v>
      </c>
      <c r="O50" s="101" t="s">
        <v>6</v>
      </c>
      <c r="P50" s="101" t="s">
        <v>6</v>
      </c>
      <c r="Q50" s="101" t="s">
        <v>403</v>
      </c>
    </row>
    <row r="51" spans="1:17" ht="16.5" thickBot="1">
      <c r="A51" s="63"/>
      <c r="B51" s="12"/>
      <c r="C51" s="12"/>
      <c r="D51" s="314"/>
      <c r="E51" s="330">
        <v>2007</v>
      </c>
      <c r="F51" s="331">
        <v>2008</v>
      </c>
      <c r="G51" s="14" t="s">
        <v>405</v>
      </c>
      <c r="H51" s="14" t="s">
        <v>405</v>
      </c>
      <c r="I51" s="14" t="s">
        <v>433</v>
      </c>
      <c r="J51" s="14" t="s">
        <v>11</v>
      </c>
      <c r="K51" s="14" t="s">
        <v>405</v>
      </c>
      <c r="L51" s="105" t="s">
        <v>402</v>
      </c>
      <c r="M51" s="105" t="s">
        <v>402</v>
      </c>
      <c r="N51" s="105" t="s">
        <v>440</v>
      </c>
      <c r="O51" s="105" t="s">
        <v>440</v>
      </c>
      <c r="P51" s="105" t="s">
        <v>441</v>
      </c>
      <c r="Q51" s="105"/>
    </row>
    <row r="52" spans="1:17" ht="15.75" customHeight="1" thickTop="1">
      <c r="A52" s="315">
        <v>20</v>
      </c>
      <c r="B52" s="15"/>
      <c r="C52" s="15"/>
      <c r="D52" s="16" t="s">
        <v>47</v>
      </c>
      <c r="E52" s="16"/>
      <c r="F52" s="16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7"/>
    </row>
    <row r="53" spans="1:17" ht="15.75" customHeight="1">
      <c r="A53" s="315"/>
      <c r="B53" s="15"/>
      <c r="C53" s="15"/>
      <c r="D53" s="16"/>
      <c r="E53" s="16"/>
      <c r="F53" s="16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7"/>
    </row>
    <row r="54" spans="1:17" ht="15">
      <c r="A54" s="316"/>
      <c r="B54" s="18"/>
      <c r="C54" s="18">
        <v>2420</v>
      </c>
      <c r="D54" s="18" t="s">
        <v>48</v>
      </c>
      <c r="E54" s="228">
        <v>124.3</v>
      </c>
      <c r="F54" s="228">
        <v>0</v>
      </c>
      <c r="G54" s="228">
        <v>200</v>
      </c>
      <c r="H54" s="228">
        <v>200</v>
      </c>
      <c r="I54" s="228">
        <v>0</v>
      </c>
      <c r="J54" s="228">
        <f aca="true" t="shared" si="2" ref="J54:J74">(I54/H54)*100</f>
        <v>0</v>
      </c>
      <c r="K54" s="228">
        <v>200</v>
      </c>
      <c r="L54" s="228"/>
      <c r="M54" s="228"/>
      <c r="N54" s="228"/>
      <c r="O54" s="228"/>
      <c r="P54" s="228"/>
      <c r="Q54" s="19"/>
    </row>
    <row r="55" spans="1:17" ht="15.75">
      <c r="A55" s="317">
        <v>91016</v>
      </c>
      <c r="B55" s="15"/>
      <c r="C55" s="28">
        <v>4116</v>
      </c>
      <c r="D55" s="27" t="s">
        <v>496</v>
      </c>
      <c r="E55" s="249">
        <f>149.8+344.4</f>
        <v>494.2</v>
      </c>
      <c r="F55" s="249">
        <f>101.6+230+50+243.4</f>
        <v>625</v>
      </c>
      <c r="G55" s="229">
        <v>0</v>
      </c>
      <c r="H55" s="229">
        <v>205</v>
      </c>
      <c r="I55" s="229">
        <v>205</v>
      </c>
      <c r="J55" s="228">
        <f t="shared" si="2"/>
        <v>100</v>
      </c>
      <c r="K55" s="229">
        <v>1205</v>
      </c>
      <c r="L55" s="229"/>
      <c r="M55" s="229"/>
      <c r="N55" s="229"/>
      <c r="O55" s="229"/>
      <c r="P55" s="229"/>
      <c r="Q55" s="21"/>
    </row>
    <row r="56" spans="1:17" ht="15.75" customHeight="1" hidden="1">
      <c r="A56" s="317"/>
      <c r="B56" s="29"/>
      <c r="C56" s="28">
        <v>4116</v>
      </c>
      <c r="D56" s="27" t="s">
        <v>49</v>
      </c>
      <c r="E56" s="249"/>
      <c r="F56" s="249"/>
      <c r="G56" s="229">
        <v>0</v>
      </c>
      <c r="H56" s="229">
        <v>0</v>
      </c>
      <c r="I56" s="229"/>
      <c r="J56" s="228" t="e">
        <f t="shared" si="2"/>
        <v>#DIV/0!</v>
      </c>
      <c r="K56" s="229"/>
      <c r="L56" s="229"/>
      <c r="M56" s="229"/>
      <c r="N56" s="229"/>
      <c r="O56" s="229"/>
      <c r="P56" s="229"/>
      <c r="Q56" s="21"/>
    </row>
    <row r="57" spans="1:17" ht="15.75" customHeight="1" hidden="1">
      <c r="A57" s="317"/>
      <c r="B57" s="29"/>
      <c r="C57" s="28">
        <v>4116</v>
      </c>
      <c r="D57" s="27" t="s">
        <v>50</v>
      </c>
      <c r="E57" s="249"/>
      <c r="F57" s="249"/>
      <c r="G57" s="229">
        <v>0</v>
      </c>
      <c r="H57" s="229">
        <v>0</v>
      </c>
      <c r="I57" s="229"/>
      <c r="J57" s="228" t="e">
        <f t="shared" si="2"/>
        <v>#DIV/0!</v>
      </c>
      <c r="K57" s="229"/>
      <c r="L57" s="229"/>
      <c r="M57" s="229"/>
      <c r="N57" s="229"/>
      <c r="O57" s="229"/>
      <c r="P57" s="229"/>
      <c r="Q57" s="21"/>
    </row>
    <row r="58" spans="1:17" ht="15">
      <c r="A58" s="317"/>
      <c r="B58" s="29"/>
      <c r="C58" s="28">
        <v>4122</v>
      </c>
      <c r="D58" s="27" t="s">
        <v>51</v>
      </c>
      <c r="E58" s="228">
        <v>0</v>
      </c>
      <c r="F58" s="228">
        <v>90</v>
      </c>
      <c r="G58" s="229">
        <v>0</v>
      </c>
      <c r="H58" s="229">
        <v>0</v>
      </c>
      <c r="I58" s="229">
        <v>200</v>
      </c>
      <c r="J58" s="228" t="e">
        <f t="shared" si="2"/>
        <v>#DIV/0!</v>
      </c>
      <c r="K58" s="229">
        <v>200</v>
      </c>
      <c r="L58" s="229"/>
      <c r="M58" s="229"/>
      <c r="N58" s="229"/>
      <c r="O58" s="229"/>
      <c r="P58" s="229"/>
      <c r="Q58" s="21"/>
    </row>
    <row r="59" spans="1:17" ht="15">
      <c r="A59" s="317"/>
      <c r="B59" s="29"/>
      <c r="C59" s="28">
        <v>4152</v>
      </c>
      <c r="D59" s="27" t="s">
        <v>52</v>
      </c>
      <c r="E59" s="228">
        <v>7386.4</v>
      </c>
      <c r="F59" s="228">
        <v>0</v>
      </c>
      <c r="G59" s="229">
        <v>0</v>
      </c>
      <c r="H59" s="229">
        <v>4405</v>
      </c>
      <c r="I59" s="229">
        <v>4404.7</v>
      </c>
      <c r="J59" s="228">
        <f t="shared" si="2"/>
        <v>99.99318955732123</v>
      </c>
      <c r="K59" s="229">
        <v>4405</v>
      </c>
      <c r="L59" s="229"/>
      <c r="M59" s="229"/>
      <c r="N59" s="229"/>
      <c r="O59" s="229"/>
      <c r="P59" s="229"/>
      <c r="Q59" s="21"/>
    </row>
    <row r="60" spans="1:17" ht="15" hidden="1">
      <c r="A60" s="317"/>
      <c r="B60" s="29"/>
      <c r="C60" s="28">
        <v>4211</v>
      </c>
      <c r="D60" s="27"/>
      <c r="E60" s="228"/>
      <c r="F60" s="228"/>
      <c r="G60" s="229">
        <v>0</v>
      </c>
      <c r="H60" s="229">
        <v>0</v>
      </c>
      <c r="I60" s="229"/>
      <c r="J60" s="228" t="e">
        <f t="shared" si="2"/>
        <v>#DIV/0!</v>
      </c>
      <c r="K60" s="229"/>
      <c r="L60" s="229"/>
      <c r="M60" s="229"/>
      <c r="N60" s="229"/>
      <c r="O60" s="229"/>
      <c r="P60" s="229"/>
      <c r="Q60" s="21"/>
    </row>
    <row r="61" spans="1:17" ht="15" hidden="1">
      <c r="A61" s="317"/>
      <c r="B61" s="29"/>
      <c r="C61" s="28">
        <v>4211</v>
      </c>
      <c r="D61" s="27"/>
      <c r="E61" s="228"/>
      <c r="F61" s="228"/>
      <c r="G61" s="229">
        <v>0</v>
      </c>
      <c r="H61" s="229">
        <v>0</v>
      </c>
      <c r="I61" s="229"/>
      <c r="J61" s="228" t="e">
        <f t="shared" si="2"/>
        <v>#DIV/0!</v>
      </c>
      <c r="K61" s="229"/>
      <c r="L61" s="229"/>
      <c r="M61" s="229"/>
      <c r="N61" s="229"/>
      <c r="O61" s="229"/>
      <c r="P61" s="229"/>
      <c r="Q61" s="21"/>
    </row>
    <row r="62" spans="1:17" ht="15" hidden="1">
      <c r="A62" s="317"/>
      <c r="B62" s="29"/>
      <c r="C62" s="28">
        <v>4211</v>
      </c>
      <c r="D62" s="27"/>
      <c r="E62" s="228"/>
      <c r="F62" s="228"/>
      <c r="G62" s="229">
        <v>0</v>
      </c>
      <c r="H62" s="229">
        <v>0</v>
      </c>
      <c r="I62" s="229"/>
      <c r="J62" s="228" t="e">
        <f t="shared" si="2"/>
        <v>#DIV/0!</v>
      </c>
      <c r="K62" s="229"/>
      <c r="L62" s="229"/>
      <c r="M62" s="229"/>
      <c r="N62" s="229"/>
      <c r="O62" s="229"/>
      <c r="P62" s="229"/>
      <c r="Q62" s="21"/>
    </row>
    <row r="63" spans="1:17" ht="15">
      <c r="A63" s="317">
        <v>91016</v>
      </c>
      <c r="B63" s="29"/>
      <c r="C63" s="28">
        <v>4216</v>
      </c>
      <c r="D63" s="27" t="s">
        <v>495</v>
      </c>
      <c r="E63" s="228">
        <v>8000</v>
      </c>
      <c r="F63" s="228">
        <f>1487+5000</f>
        <v>6487</v>
      </c>
      <c r="G63" s="229">
        <v>0</v>
      </c>
      <c r="H63" s="229">
        <v>880</v>
      </c>
      <c r="I63" s="229">
        <v>0</v>
      </c>
      <c r="J63" s="228">
        <f t="shared" si="2"/>
        <v>0</v>
      </c>
      <c r="K63" s="229">
        <v>880</v>
      </c>
      <c r="L63" s="229"/>
      <c r="M63" s="229"/>
      <c r="N63" s="229"/>
      <c r="O63" s="229"/>
      <c r="P63" s="229"/>
      <c r="Q63" s="21"/>
    </row>
    <row r="64" spans="1:17" ht="15">
      <c r="A64" s="317"/>
      <c r="B64" s="29"/>
      <c r="C64" s="28">
        <v>4213</v>
      </c>
      <c r="D64" s="27" t="s">
        <v>53</v>
      </c>
      <c r="E64" s="249">
        <v>2365.6</v>
      </c>
      <c r="F64" s="249">
        <v>0</v>
      </c>
      <c r="G64" s="229">
        <v>0</v>
      </c>
      <c r="H64" s="229">
        <v>248</v>
      </c>
      <c r="I64" s="228">
        <v>248</v>
      </c>
      <c r="J64" s="228">
        <f t="shared" si="2"/>
        <v>100</v>
      </c>
      <c r="K64" s="229">
        <v>248</v>
      </c>
      <c r="L64" s="228"/>
      <c r="M64" s="229"/>
      <c r="N64" s="229"/>
      <c r="O64" s="229"/>
      <c r="P64" s="229"/>
      <c r="Q64" s="21"/>
    </row>
    <row r="65" spans="1:17" ht="15" hidden="1">
      <c r="A65" s="317"/>
      <c r="B65" s="29"/>
      <c r="C65" s="28">
        <v>4216</v>
      </c>
      <c r="D65" s="27"/>
      <c r="E65" s="249"/>
      <c r="F65" s="249"/>
      <c r="G65" s="229"/>
      <c r="H65" s="229"/>
      <c r="I65" s="229"/>
      <c r="J65" s="228" t="e">
        <f t="shared" si="2"/>
        <v>#DIV/0!</v>
      </c>
      <c r="K65" s="229"/>
      <c r="L65" s="229"/>
      <c r="M65" s="229"/>
      <c r="N65" s="229"/>
      <c r="O65" s="229"/>
      <c r="P65" s="229"/>
      <c r="Q65" s="21"/>
    </row>
    <row r="66" spans="1:17" ht="15" hidden="1">
      <c r="A66" s="317"/>
      <c r="B66" s="29"/>
      <c r="C66" s="28">
        <v>4216</v>
      </c>
      <c r="D66" s="27"/>
      <c r="E66" s="249"/>
      <c r="F66" s="249"/>
      <c r="G66" s="229"/>
      <c r="H66" s="229"/>
      <c r="I66" s="229"/>
      <c r="J66" s="228" t="e">
        <f t="shared" si="2"/>
        <v>#DIV/0!</v>
      </c>
      <c r="K66" s="229"/>
      <c r="L66" s="229"/>
      <c r="M66" s="229"/>
      <c r="N66" s="229"/>
      <c r="O66" s="229"/>
      <c r="P66" s="229"/>
      <c r="Q66" s="21"/>
    </row>
    <row r="67" spans="1:17" ht="15">
      <c r="A67" s="318"/>
      <c r="B67" s="209">
        <v>2143</v>
      </c>
      <c r="C67" s="20">
        <v>2111</v>
      </c>
      <c r="D67" s="18" t="s">
        <v>21</v>
      </c>
      <c r="E67" s="229">
        <v>12.1</v>
      </c>
      <c r="F67" s="229">
        <v>92.4</v>
      </c>
      <c r="G67" s="238">
        <v>7</v>
      </c>
      <c r="H67" s="238">
        <v>7</v>
      </c>
      <c r="I67" s="229">
        <v>10.8</v>
      </c>
      <c r="J67" s="228">
        <f t="shared" si="2"/>
        <v>154.2857142857143</v>
      </c>
      <c r="K67" s="229">
        <v>11</v>
      </c>
      <c r="L67" s="229"/>
      <c r="M67" s="238"/>
      <c r="N67" s="238"/>
      <c r="O67" s="238"/>
      <c r="P67" s="238"/>
      <c r="Q67" s="30"/>
    </row>
    <row r="68" spans="1:17" ht="15">
      <c r="A68" s="318"/>
      <c r="B68" s="209">
        <v>2143</v>
      </c>
      <c r="C68" s="20">
        <v>2112</v>
      </c>
      <c r="D68" s="18" t="s">
        <v>54</v>
      </c>
      <c r="E68" s="229">
        <f>91.1+2+8.3</f>
        <v>101.39999999999999</v>
      </c>
      <c r="F68" s="229">
        <v>249.9</v>
      </c>
      <c r="G68" s="238">
        <v>18</v>
      </c>
      <c r="H68" s="238">
        <v>18</v>
      </c>
      <c r="I68" s="229">
        <v>18.8</v>
      </c>
      <c r="J68" s="228">
        <f t="shared" si="2"/>
        <v>104.44444444444446</v>
      </c>
      <c r="K68" s="229">
        <v>19</v>
      </c>
      <c r="L68" s="229"/>
      <c r="M68" s="238"/>
      <c r="N68" s="238"/>
      <c r="O68" s="238"/>
      <c r="P68" s="238"/>
      <c r="Q68" s="30"/>
    </row>
    <row r="69" spans="1:17" ht="15" hidden="1">
      <c r="A69" s="318"/>
      <c r="B69" s="209">
        <v>2143</v>
      </c>
      <c r="C69" s="20">
        <v>2324</v>
      </c>
      <c r="D69" s="18" t="s">
        <v>55</v>
      </c>
      <c r="E69" s="229"/>
      <c r="F69" s="229"/>
      <c r="G69" s="229">
        <v>0</v>
      </c>
      <c r="H69" s="229">
        <v>0</v>
      </c>
      <c r="I69" s="229"/>
      <c r="J69" s="228" t="e">
        <f t="shared" si="2"/>
        <v>#DIV/0!</v>
      </c>
      <c r="K69" s="229"/>
      <c r="L69" s="229"/>
      <c r="M69" s="229"/>
      <c r="N69" s="229"/>
      <c r="O69" s="229"/>
      <c r="P69" s="229"/>
      <c r="Q69" s="21"/>
    </row>
    <row r="70" spans="1:17" ht="15" hidden="1">
      <c r="A70" s="318"/>
      <c r="B70" s="209">
        <v>2143</v>
      </c>
      <c r="C70" s="20">
        <v>2329</v>
      </c>
      <c r="D70" s="18" t="s">
        <v>56</v>
      </c>
      <c r="E70" s="229"/>
      <c r="F70" s="229"/>
      <c r="G70" s="229">
        <v>0</v>
      </c>
      <c r="H70" s="229">
        <v>0</v>
      </c>
      <c r="I70" s="229"/>
      <c r="J70" s="228" t="e">
        <f t="shared" si="2"/>
        <v>#DIV/0!</v>
      </c>
      <c r="K70" s="229"/>
      <c r="L70" s="229"/>
      <c r="M70" s="229"/>
      <c r="N70" s="229"/>
      <c r="O70" s="229"/>
      <c r="P70" s="229"/>
      <c r="Q70" s="21"/>
    </row>
    <row r="71" spans="1:17" ht="15">
      <c r="A71" s="318"/>
      <c r="B71" s="209">
        <v>2143</v>
      </c>
      <c r="C71" s="20">
        <v>2324</v>
      </c>
      <c r="D71" s="18" t="s">
        <v>57</v>
      </c>
      <c r="E71" s="229"/>
      <c r="F71" s="229"/>
      <c r="G71" s="229">
        <v>0</v>
      </c>
      <c r="H71" s="229">
        <v>250</v>
      </c>
      <c r="I71" s="229">
        <v>250</v>
      </c>
      <c r="J71" s="228">
        <f t="shared" si="2"/>
        <v>100</v>
      </c>
      <c r="K71" s="229">
        <v>250</v>
      </c>
      <c r="L71" s="229"/>
      <c r="M71" s="229"/>
      <c r="N71" s="229"/>
      <c r="O71" s="229"/>
      <c r="P71" s="229"/>
      <c r="Q71" s="21"/>
    </row>
    <row r="72" spans="1:17" ht="15">
      <c r="A72" s="318">
        <v>71011</v>
      </c>
      <c r="B72" s="209">
        <v>2219</v>
      </c>
      <c r="C72" s="20">
        <v>3221</v>
      </c>
      <c r="D72" s="18" t="s">
        <v>58</v>
      </c>
      <c r="E72" s="229"/>
      <c r="F72" s="229"/>
      <c r="G72" s="229">
        <v>0</v>
      </c>
      <c r="H72" s="229">
        <v>0</v>
      </c>
      <c r="I72" s="229">
        <v>500</v>
      </c>
      <c r="J72" s="228" t="e">
        <f t="shared" si="2"/>
        <v>#DIV/0!</v>
      </c>
      <c r="K72" s="229">
        <v>500</v>
      </c>
      <c r="L72" s="229"/>
      <c r="M72" s="229"/>
      <c r="N72" s="229"/>
      <c r="O72" s="229"/>
      <c r="P72" s="229"/>
      <c r="Q72" s="21"/>
    </row>
    <row r="73" spans="1:17" ht="15">
      <c r="A73" s="318">
        <v>71006</v>
      </c>
      <c r="B73" s="209">
        <v>3313</v>
      </c>
      <c r="C73" s="20">
        <v>2324</v>
      </c>
      <c r="D73" s="18" t="s">
        <v>59</v>
      </c>
      <c r="E73" s="229"/>
      <c r="F73" s="229"/>
      <c r="G73" s="229">
        <v>0</v>
      </c>
      <c r="H73" s="229">
        <v>0</v>
      </c>
      <c r="I73" s="229">
        <v>37.9</v>
      </c>
      <c r="J73" s="228" t="e">
        <f t="shared" si="2"/>
        <v>#DIV/0!</v>
      </c>
      <c r="K73" s="229">
        <v>38</v>
      </c>
      <c r="L73" s="229"/>
      <c r="M73" s="229"/>
      <c r="N73" s="229"/>
      <c r="O73" s="229"/>
      <c r="P73" s="229"/>
      <c r="Q73" s="21"/>
    </row>
    <row r="74" spans="1:17" ht="15">
      <c r="A74" s="316"/>
      <c r="B74" s="210">
        <v>3326</v>
      </c>
      <c r="C74" s="18">
        <v>2210</v>
      </c>
      <c r="D74" s="18" t="s">
        <v>60</v>
      </c>
      <c r="E74" s="228"/>
      <c r="F74" s="228"/>
      <c r="G74" s="239">
        <v>30</v>
      </c>
      <c r="H74" s="239">
        <v>30</v>
      </c>
      <c r="I74" s="239">
        <v>1.5</v>
      </c>
      <c r="J74" s="228">
        <f t="shared" si="2"/>
        <v>5</v>
      </c>
      <c r="K74" s="228">
        <v>2</v>
      </c>
      <c r="L74" s="239">
        <v>50</v>
      </c>
      <c r="M74" s="239"/>
      <c r="N74" s="239">
        <v>50</v>
      </c>
      <c r="O74" s="239">
        <v>50</v>
      </c>
      <c r="P74" s="239">
        <v>50</v>
      </c>
      <c r="Q74" s="31"/>
    </row>
    <row r="75" spans="1:17" ht="15">
      <c r="A75" s="114">
        <v>71015</v>
      </c>
      <c r="B75" s="211">
        <v>3392</v>
      </c>
      <c r="C75" s="28">
        <v>4213</v>
      </c>
      <c r="D75" s="114" t="s">
        <v>297</v>
      </c>
      <c r="E75" s="245"/>
      <c r="F75" s="245"/>
      <c r="G75" s="238"/>
      <c r="H75" s="238"/>
      <c r="I75" s="238"/>
      <c r="J75" s="228"/>
      <c r="K75" s="228">
        <v>3800</v>
      </c>
      <c r="L75" s="228"/>
      <c r="M75" s="228"/>
      <c r="N75" s="229"/>
      <c r="O75" s="229"/>
      <c r="P75" s="229"/>
      <c r="Q75" s="30"/>
    </row>
    <row r="76" spans="1:17" ht="15">
      <c r="A76" s="114">
        <v>71005</v>
      </c>
      <c r="B76" s="211">
        <v>3113</v>
      </c>
      <c r="C76" s="28">
        <v>4213</v>
      </c>
      <c r="D76" s="114" t="s">
        <v>290</v>
      </c>
      <c r="E76" s="245"/>
      <c r="F76" s="245"/>
      <c r="G76" s="238"/>
      <c r="H76" s="238"/>
      <c r="I76" s="238"/>
      <c r="J76" s="228"/>
      <c r="K76" s="228">
        <v>10000</v>
      </c>
      <c r="L76" s="228"/>
      <c r="M76" s="228"/>
      <c r="N76" s="229"/>
      <c r="O76" s="229"/>
      <c r="P76" s="229"/>
      <c r="Q76" s="30"/>
    </row>
    <row r="77" spans="1:17" ht="15">
      <c r="A77" s="114">
        <v>71023</v>
      </c>
      <c r="B77" s="211">
        <v>3111</v>
      </c>
      <c r="C77" s="28">
        <v>4213</v>
      </c>
      <c r="D77" s="319" t="s">
        <v>421</v>
      </c>
      <c r="E77" s="299"/>
      <c r="F77" s="299"/>
      <c r="G77" s="240"/>
      <c r="H77" s="240"/>
      <c r="I77" s="238"/>
      <c r="J77" s="228"/>
      <c r="K77" s="228">
        <v>1092</v>
      </c>
      <c r="L77" s="228"/>
      <c r="M77" s="228"/>
      <c r="N77" s="229"/>
      <c r="O77" s="229"/>
      <c r="P77" s="229"/>
      <c r="Q77" s="30"/>
    </row>
    <row r="78" spans="1:17" ht="15">
      <c r="A78" s="114">
        <v>71009</v>
      </c>
      <c r="B78" s="212">
        <v>3412</v>
      </c>
      <c r="C78" s="198"/>
      <c r="D78" s="320" t="s">
        <v>298</v>
      </c>
      <c r="E78" s="334"/>
      <c r="F78" s="334"/>
      <c r="G78" s="238"/>
      <c r="H78" s="238"/>
      <c r="I78" s="238"/>
      <c r="J78" s="228"/>
      <c r="K78" s="228"/>
      <c r="L78" s="228"/>
      <c r="M78" s="228">
        <v>28934</v>
      </c>
      <c r="N78" s="229"/>
      <c r="O78" s="229"/>
      <c r="P78" s="229"/>
      <c r="Q78" s="30" t="s">
        <v>461</v>
      </c>
    </row>
    <row r="79" spans="1:17" ht="15">
      <c r="A79" s="147">
        <v>91014</v>
      </c>
      <c r="B79" s="211">
        <v>3326</v>
      </c>
      <c r="C79" s="198"/>
      <c r="D79" s="114" t="s">
        <v>295</v>
      </c>
      <c r="E79" s="245"/>
      <c r="F79" s="245"/>
      <c r="G79" s="238"/>
      <c r="H79" s="238"/>
      <c r="I79" s="238"/>
      <c r="J79" s="228"/>
      <c r="K79" s="228"/>
      <c r="L79" s="228"/>
      <c r="M79" s="228">
        <v>60</v>
      </c>
      <c r="N79" s="229"/>
      <c r="O79" s="229"/>
      <c r="P79" s="229"/>
      <c r="Q79" s="30"/>
    </row>
    <row r="80" spans="1:17" ht="15">
      <c r="A80" s="20"/>
      <c r="B80" s="213">
        <v>2219</v>
      </c>
      <c r="C80" s="200"/>
      <c r="D80" s="150" t="s">
        <v>450</v>
      </c>
      <c r="E80" s="298"/>
      <c r="F80" s="298"/>
      <c r="G80" s="229"/>
      <c r="H80" s="229"/>
      <c r="I80" s="229"/>
      <c r="J80" s="228" t="e">
        <f>(#REF!/H80)*100</f>
        <v>#REF!</v>
      </c>
      <c r="K80" s="228"/>
      <c r="L80" s="228"/>
      <c r="M80" s="228">
        <v>6800</v>
      </c>
      <c r="N80" s="229"/>
      <c r="O80" s="229"/>
      <c r="P80" s="229"/>
      <c r="Q80" s="30" t="s">
        <v>462</v>
      </c>
    </row>
    <row r="81" spans="1:17" ht="15">
      <c r="A81" s="316">
        <v>91012</v>
      </c>
      <c r="B81" s="210">
        <v>2219</v>
      </c>
      <c r="C81" s="18"/>
      <c r="D81" s="114" t="s">
        <v>284</v>
      </c>
      <c r="E81" s="244"/>
      <c r="F81" s="244"/>
      <c r="G81" s="228"/>
      <c r="H81" s="228"/>
      <c r="I81" s="228"/>
      <c r="J81" s="228" t="e">
        <f>(#REF!/H81)*100</f>
        <v>#REF!</v>
      </c>
      <c r="K81" s="228">
        <v>23383</v>
      </c>
      <c r="L81" s="228"/>
      <c r="M81" s="241"/>
      <c r="N81" s="241"/>
      <c r="O81" s="241"/>
      <c r="P81" s="228"/>
      <c r="Q81" s="31" t="s">
        <v>463</v>
      </c>
    </row>
    <row r="82" spans="1:17" ht="15.75">
      <c r="A82" s="316"/>
      <c r="B82" s="219"/>
      <c r="C82" s="27"/>
      <c r="D82" s="321" t="s">
        <v>445</v>
      </c>
      <c r="E82" s="242">
        <v>19964</v>
      </c>
      <c r="F82" s="242">
        <v>7850.1</v>
      </c>
      <c r="G82" s="242">
        <f>SUM(G54:G81)</f>
        <v>255</v>
      </c>
      <c r="H82" s="242">
        <f aca="true" t="shared" si="3" ref="H82:P82">SUM(H54:H81)</f>
        <v>6243</v>
      </c>
      <c r="I82" s="242">
        <f t="shared" si="3"/>
        <v>5876.7</v>
      </c>
      <c r="J82" s="242" t="e">
        <f t="shared" si="3"/>
        <v>#DIV/0!</v>
      </c>
      <c r="K82" s="242">
        <f t="shared" si="3"/>
        <v>46233</v>
      </c>
      <c r="L82" s="242">
        <f t="shared" si="3"/>
        <v>50</v>
      </c>
      <c r="M82" s="242">
        <f t="shared" si="3"/>
        <v>35794</v>
      </c>
      <c r="N82" s="242">
        <f t="shared" si="3"/>
        <v>50</v>
      </c>
      <c r="O82" s="242">
        <f t="shared" si="3"/>
        <v>50</v>
      </c>
      <c r="P82" s="242">
        <f t="shared" si="3"/>
        <v>50</v>
      </c>
      <c r="Q82" s="30"/>
    </row>
    <row r="83" spans="1:17" ht="15">
      <c r="A83" s="147"/>
      <c r="B83" s="211"/>
      <c r="C83" s="220"/>
      <c r="D83" s="114"/>
      <c r="E83" s="245"/>
      <c r="F83" s="245"/>
      <c r="G83" s="238"/>
      <c r="H83" s="238"/>
      <c r="I83" s="238"/>
      <c r="J83" s="228"/>
      <c r="K83" s="228"/>
      <c r="L83" s="228"/>
      <c r="M83" s="228"/>
      <c r="N83" s="229"/>
      <c r="O83" s="229"/>
      <c r="P83" s="229"/>
      <c r="Q83" s="30"/>
    </row>
    <row r="84" spans="1:17" ht="15.75">
      <c r="A84" s="114"/>
      <c r="B84" s="211"/>
      <c r="C84" s="28"/>
      <c r="D84" s="322" t="s">
        <v>442</v>
      </c>
      <c r="E84" s="335"/>
      <c r="F84" s="335"/>
      <c r="G84" s="243"/>
      <c r="H84" s="243"/>
      <c r="I84" s="238"/>
      <c r="J84" s="228"/>
      <c r="K84" s="228"/>
      <c r="L84" s="228"/>
      <c r="M84" s="228"/>
      <c r="N84" s="229"/>
      <c r="O84" s="229"/>
      <c r="P84" s="229"/>
      <c r="Q84" s="30"/>
    </row>
    <row r="85" spans="1:17" ht="15">
      <c r="A85" s="114">
        <v>71024</v>
      </c>
      <c r="B85" s="212">
        <v>6171</v>
      </c>
      <c r="C85" s="198"/>
      <c r="D85" s="114" t="s">
        <v>309</v>
      </c>
      <c r="E85" s="245"/>
      <c r="F85" s="245"/>
      <c r="G85" s="238"/>
      <c r="H85" s="238"/>
      <c r="I85" s="238"/>
      <c r="J85" s="228"/>
      <c r="K85" s="228"/>
      <c r="L85" s="228"/>
      <c r="M85" s="228">
        <v>8900</v>
      </c>
      <c r="N85" s="229"/>
      <c r="O85" s="229"/>
      <c r="P85" s="229"/>
      <c r="Q85" s="30" t="s">
        <v>455</v>
      </c>
    </row>
    <row r="86" spans="1:17" ht="15">
      <c r="A86" s="147"/>
      <c r="B86" s="211">
        <v>2219</v>
      </c>
      <c r="C86" s="198"/>
      <c r="D86" s="150" t="s">
        <v>419</v>
      </c>
      <c r="E86" s="298"/>
      <c r="F86" s="298"/>
      <c r="G86" s="238"/>
      <c r="H86" s="238"/>
      <c r="I86" s="238"/>
      <c r="J86" s="228"/>
      <c r="K86" s="228"/>
      <c r="L86" s="228"/>
      <c r="M86" s="228">
        <v>5400</v>
      </c>
      <c r="N86" s="229"/>
      <c r="O86" s="229"/>
      <c r="P86" s="229"/>
      <c r="Q86" s="30" t="s">
        <v>456</v>
      </c>
    </row>
    <row r="87" spans="1:17" ht="15">
      <c r="A87" s="18"/>
      <c r="B87" s="211">
        <v>2219</v>
      </c>
      <c r="C87" s="198"/>
      <c r="D87" s="199" t="s">
        <v>428</v>
      </c>
      <c r="E87" s="336"/>
      <c r="F87" s="336"/>
      <c r="G87" s="238"/>
      <c r="H87" s="238"/>
      <c r="I87" s="238"/>
      <c r="J87" s="228"/>
      <c r="K87" s="228"/>
      <c r="L87" s="228"/>
      <c r="M87" s="228">
        <v>3500</v>
      </c>
      <c r="N87" s="229"/>
      <c r="O87" s="229"/>
      <c r="P87" s="229"/>
      <c r="Q87" s="30" t="s">
        <v>457</v>
      </c>
    </row>
    <row r="88" spans="1:17" ht="15">
      <c r="A88" s="18">
        <v>81003</v>
      </c>
      <c r="B88" s="212">
        <v>3322</v>
      </c>
      <c r="C88" s="113"/>
      <c r="D88" s="114" t="s">
        <v>420</v>
      </c>
      <c r="E88" s="245"/>
      <c r="F88" s="245"/>
      <c r="G88" s="229"/>
      <c r="H88" s="229"/>
      <c r="I88" s="229"/>
      <c r="J88" s="228" t="e">
        <f>(#REF!/H88)*100</f>
        <v>#REF!</v>
      </c>
      <c r="K88" s="244"/>
      <c r="L88" s="244"/>
      <c r="M88" s="244">
        <v>10200</v>
      </c>
      <c r="N88" s="245"/>
      <c r="O88" s="245"/>
      <c r="P88" s="245"/>
      <c r="Q88" s="30" t="s">
        <v>458</v>
      </c>
    </row>
    <row r="89" spans="1:17" ht="15.75">
      <c r="A89" s="169">
        <v>81012</v>
      </c>
      <c r="B89" s="221">
        <v>4357</v>
      </c>
      <c r="C89" s="200"/>
      <c r="D89" s="169" t="s">
        <v>308</v>
      </c>
      <c r="E89" s="245"/>
      <c r="F89" s="245"/>
      <c r="G89" s="245"/>
      <c r="H89" s="246"/>
      <c r="I89" s="246"/>
      <c r="J89" s="245" t="e">
        <f>(I89/H89)*100</f>
        <v>#DIV/0!</v>
      </c>
      <c r="K89" s="245"/>
      <c r="L89" s="245"/>
      <c r="M89" s="245">
        <v>10000</v>
      </c>
      <c r="N89" s="245"/>
      <c r="O89" s="245"/>
      <c r="P89" s="245"/>
      <c r="Q89" s="30" t="s">
        <v>454</v>
      </c>
    </row>
    <row r="90" spans="1:17" ht="15.75">
      <c r="A90" s="169"/>
      <c r="B90" s="221"/>
      <c r="C90" s="200"/>
      <c r="D90" s="169" t="s">
        <v>285</v>
      </c>
      <c r="E90" s="245"/>
      <c r="F90" s="245"/>
      <c r="G90" s="245"/>
      <c r="H90" s="246"/>
      <c r="I90" s="246"/>
      <c r="J90" s="245"/>
      <c r="K90" s="245"/>
      <c r="L90" s="245"/>
      <c r="M90" s="245"/>
      <c r="N90" s="245"/>
      <c r="O90" s="245"/>
      <c r="P90" s="245">
        <v>94000</v>
      </c>
      <c r="Q90" s="30"/>
    </row>
    <row r="91" spans="1:17" ht="15.75">
      <c r="A91" s="114"/>
      <c r="B91" s="212"/>
      <c r="C91" s="198"/>
      <c r="D91" s="222" t="s">
        <v>446</v>
      </c>
      <c r="E91" s="337"/>
      <c r="F91" s="337"/>
      <c r="G91" s="247">
        <f>SUM(G85:G90)</f>
        <v>0</v>
      </c>
      <c r="H91" s="247">
        <f aca="true" t="shared" si="4" ref="H91:P91">SUM(H85:H90)</f>
        <v>0</v>
      </c>
      <c r="I91" s="247">
        <f t="shared" si="4"/>
        <v>0</v>
      </c>
      <c r="J91" s="247" t="e">
        <f t="shared" si="4"/>
        <v>#REF!</v>
      </c>
      <c r="K91" s="247">
        <f t="shared" si="4"/>
        <v>0</v>
      </c>
      <c r="L91" s="247">
        <f t="shared" si="4"/>
        <v>0</v>
      </c>
      <c r="M91" s="247">
        <f t="shared" si="4"/>
        <v>38000</v>
      </c>
      <c r="N91" s="247">
        <f t="shared" si="4"/>
        <v>0</v>
      </c>
      <c r="O91" s="247">
        <f t="shared" si="4"/>
        <v>0</v>
      </c>
      <c r="P91" s="247">
        <f t="shared" si="4"/>
        <v>94000</v>
      </c>
      <c r="Q91" s="31"/>
    </row>
    <row r="92" spans="1:17" ht="15.75" thickBot="1">
      <c r="A92" s="323"/>
      <c r="B92" s="32"/>
      <c r="C92" s="32"/>
      <c r="D92" s="32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33"/>
    </row>
    <row r="93" spans="1:17" s="26" customFormat="1" ht="21.75" customHeight="1" thickBot="1" thickTop="1">
      <c r="A93" s="324"/>
      <c r="B93" s="23"/>
      <c r="C93" s="23"/>
      <c r="D93" s="24" t="s">
        <v>61</v>
      </c>
      <c r="E93" s="231">
        <v>19964</v>
      </c>
      <c r="F93" s="231">
        <v>7850</v>
      </c>
      <c r="G93" s="231">
        <f aca="true" t="shared" si="5" ref="G93:L93">SUM(G82,G91)</f>
        <v>255</v>
      </c>
      <c r="H93" s="231">
        <f t="shared" si="5"/>
        <v>6243</v>
      </c>
      <c r="I93" s="231">
        <f t="shared" si="5"/>
        <v>5876.7</v>
      </c>
      <c r="J93" s="231" t="e">
        <f t="shared" si="5"/>
        <v>#DIV/0!</v>
      </c>
      <c r="K93" s="231">
        <f t="shared" si="5"/>
        <v>46233</v>
      </c>
      <c r="L93" s="231">
        <f t="shared" si="5"/>
        <v>50</v>
      </c>
      <c r="M93" s="231">
        <f>SUM(M82)</f>
        <v>35794</v>
      </c>
      <c r="N93" s="231">
        <f>SUM(N82)</f>
        <v>50</v>
      </c>
      <c r="O93" s="231">
        <f>SUM(O82)</f>
        <v>50</v>
      </c>
      <c r="P93" s="231">
        <f>SUM(P82)</f>
        <v>50</v>
      </c>
      <c r="Q93" s="25"/>
    </row>
    <row r="94" spans="1:17" ht="15" customHeight="1">
      <c r="A94" s="34"/>
      <c r="B94" s="34"/>
      <c r="C94" s="34"/>
      <c r="D94" s="5"/>
      <c r="E94" s="5"/>
      <c r="F94" s="5"/>
      <c r="G94" s="79"/>
      <c r="H94" s="79"/>
      <c r="I94" s="79"/>
      <c r="J94" s="79"/>
      <c r="K94" s="79"/>
      <c r="L94" s="79"/>
      <c r="M94" s="79"/>
      <c r="N94" s="79"/>
      <c r="O94" s="79"/>
      <c r="P94" s="312" t="s">
        <v>482</v>
      </c>
      <c r="Q94" s="35"/>
    </row>
    <row r="95" spans="1:17" ht="15" customHeight="1">
      <c r="A95" s="34"/>
      <c r="B95" s="34"/>
      <c r="C95" s="34"/>
      <c r="D95" s="5"/>
      <c r="E95" s="5"/>
      <c r="F95" s="5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35"/>
    </row>
    <row r="96" spans="1:17" ht="15" customHeight="1" thickBot="1">
      <c r="A96" s="34"/>
      <c r="B96" s="34"/>
      <c r="C96" s="34"/>
      <c r="D96" s="5"/>
      <c r="E96" s="5"/>
      <c r="F96" s="5"/>
      <c r="G96" s="79"/>
      <c r="H96" s="79"/>
      <c r="I96" s="250"/>
      <c r="J96" s="79"/>
      <c r="K96" s="79"/>
      <c r="L96" s="250"/>
      <c r="M96" s="79"/>
      <c r="N96" s="79"/>
      <c r="O96" s="79"/>
      <c r="P96" s="79"/>
      <c r="Q96" s="35"/>
    </row>
    <row r="97" spans="1:17" ht="15.75" customHeight="1">
      <c r="A97" s="61" t="s">
        <v>2</v>
      </c>
      <c r="B97" s="9" t="s">
        <v>3</v>
      </c>
      <c r="C97" s="9" t="s">
        <v>4</v>
      </c>
      <c r="D97" s="313" t="s">
        <v>5</v>
      </c>
      <c r="E97" s="313" t="s">
        <v>7</v>
      </c>
      <c r="F97" s="10" t="s">
        <v>7</v>
      </c>
      <c r="G97" s="9" t="s">
        <v>499</v>
      </c>
      <c r="H97" s="9" t="s">
        <v>500</v>
      </c>
      <c r="I97" s="11" t="s">
        <v>7</v>
      </c>
      <c r="J97" s="9" t="s">
        <v>8</v>
      </c>
      <c r="K97" s="9" t="s">
        <v>404</v>
      </c>
      <c r="L97" s="101" t="s">
        <v>410</v>
      </c>
      <c r="M97" s="101" t="s">
        <v>6</v>
      </c>
      <c r="N97" s="101" t="s">
        <v>410</v>
      </c>
      <c r="O97" s="101" t="s">
        <v>6</v>
      </c>
      <c r="P97" s="101" t="s">
        <v>6</v>
      </c>
      <c r="Q97" s="101" t="s">
        <v>403</v>
      </c>
    </row>
    <row r="98" spans="1:17" ht="16.5" customHeight="1" thickBot="1">
      <c r="A98" s="63"/>
      <c r="B98" s="12"/>
      <c r="C98" s="12"/>
      <c r="D98" s="314"/>
      <c r="E98" s="330">
        <v>2007</v>
      </c>
      <c r="F98" s="331">
        <v>2008</v>
      </c>
      <c r="G98" s="14" t="s">
        <v>405</v>
      </c>
      <c r="H98" s="14" t="s">
        <v>405</v>
      </c>
      <c r="I98" s="14" t="s">
        <v>433</v>
      </c>
      <c r="J98" s="14" t="s">
        <v>11</v>
      </c>
      <c r="K98" s="14" t="s">
        <v>405</v>
      </c>
      <c r="L98" s="105" t="s">
        <v>402</v>
      </c>
      <c r="M98" s="105" t="s">
        <v>402</v>
      </c>
      <c r="N98" s="105" t="s">
        <v>440</v>
      </c>
      <c r="O98" s="105" t="s">
        <v>440</v>
      </c>
      <c r="P98" s="105" t="s">
        <v>441</v>
      </c>
      <c r="Q98" s="105"/>
    </row>
    <row r="99" spans="1:17" ht="16.5" customHeight="1" thickTop="1">
      <c r="A99" s="315">
        <v>30</v>
      </c>
      <c r="B99" s="15"/>
      <c r="C99" s="15"/>
      <c r="D99" s="16" t="s">
        <v>62</v>
      </c>
      <c r="E99" s="16"/>
      <c r="F99" s="16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36"/>
    </row>
    <row r="100" spans="1:17" ht="15" customHeight="1">
      <c r="A100" s="325"/>
      <c r="B100" s="37"/>
      <c r="C100" s="37"/>
      <c r="D100" s="37"/>
      <c r="E100" s="37"/>
      <c r="F100" s="37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19"/>
    </row>
    <row r="101" spans="1:17" ht="15" customHeight="1">
      <c r="A101" s="325"/>
      <c r="B101" s="37"/>
      <c r="C101" s="38">
        <v>1342</v>
      </c>
      <c r="D101" s="38" t="s">
        <v>63</v>
      </c>
      <c r="E101" s="258">
        <v>0</v>
      </c>
      <c r="F101" s="258">
        <v>71.5</v>
      </c>
      <c r="G101" s="252">
        <v>30</v>
      </c>
      <c r="H101" s="252">
        <v>30</v>
      </c>
      <c r="I101" s="252">
        <v>33.6</v>
      </c>
      <c r="J101" s="228">
        <f aca="true" t="shared" si="6" ref="J101:J147">(I101/H101)*100</f>
        <v>112.00000000000001</v>
      </c>
      <c r="K101" s="237">
        <v>85</v>
      </c>
      <c r="L101" s="252">
        <v>30</v>
      </c>
      <c r="M101" s="252">
        <v>50</v>
      </c>
      <c r="N101" s="252">
        <v>30</v>
      </c>
      <c r="O101" s="252">
        <v>50</v>
      </c>
      <c r="P101" s="252">
        <v>50</v>
      </c>
      <c r="Q101" s="39"/>
    </row>
    <row r="102" spans="1:17" s="40" customFormat="1" ht="15">
      <c r="A102" s="326"/>
      <c r="B102" s="38"/>
      <c r="C102" s="38">
        <v>1343</v>
      </c>
      <c r="D102" s="38" t="s">
        <v>64</v>
      </c>
      <c r="E102" s="258">
        <v>1065.7</v>
      </c>
      <c r="F102" s="258">
        <v>1036.2</v>
      </c>
      <c r="G102" s="253">
        <v>900</v>
      </c>
      <c r="H102" s="253">
        <v>953.6</v>
      </c>
      <c r="I102" s="253">
        <v>1000.3</v>
      </c>
      <c r="J102" s="228">
        <f t="shared" si="6"/>
        <v>104.89723154362416</v>
      </c>
      <c r="K102" s="237">
        <v>1150</v>
      </c>
      <c r="L102" s="253">
        <v>900</v>
      </c>
      <c r="M102" s="252">
        <v>1500</v>
      </c>
      <c r="N102" s="253">
        <v>900</v>
      </c>
      <c r="O102" s="252">
        <v>1200</v>
      </c>
      <c r="P102" s="252">
        <v>1200</v>
      </c>
      <c r="Q102" s="204"/>
    </row>
    <row r="103" spans="1:17" ht="15">
      <c r="A103" s="316"/>
      <c r="B103" s="18"/>
      <c r="C103" s="18">
        <v>1345</v>
      </c>
      <c r="D103" s="18" t="s">
        <v>65</v>
      </c>
      <c r="E103" s="237">
        <v>287.9</v>
      </c>
      <c r="F103" s="237">
        <v>199.5</v>
      </c>
      <c r="G103" s="254">
        <v>150</v>
      </c>
      <c r="H103" s="254">
        <v>150</v>
      </c>
      <c r="I103" s="254">
        <v>107.5</v>
      </c>
      <c r="J103" s="228">
        <f t="shared" si="6"/>
        <v>71.66666666666667</v>
      </c>
      <c r="K103" s="237">
        <v>170</v>
      </c>
      <c r="L103" s="254">
        <v>150</v>
      </c>
      <c r="M103" s="254">
        <v>90</v>
      </c>
      <c r="N103" s="254">
        <v>150</v>
      </c>
      <c r="O103" s="254">
        <v>70</v>
      </c>
      <c r="P103" s="254">
        <v>70</v>
      </c>
      <c r="Q103" s="41" t="s">
        <v>424</v>
      </c>
    </row>
    <row r="104" spans="1:17" ht="15">
      <c r="A104" s="316"/>
      <c r="B104" s="18"/>
      <c r="C104" s="18">
        <v>1361</v>
      </c>
      <c r="D104" s="18" t="s">
        <v>14</v>
      </c>
      <c r="E104" s="237">
        <v>72.6</v>
      </c>
      <c r="F104" s="237">
        <v>78.5</v>
      </c>
      <c r="G104" s="255">
        <v>0</v>
      </c>
      <c r="H104" s="255">
        <v>0</v>
      </c>
      <c r="I104" s="255">
        <v>50.8</v>
      </c>
      <c r="J104" s="228" t="e">
        <f t="shared" si="6"/>
        <v>#DIV/0!</v>
      </c>
      <c r="K104" s="237">
        <v>60</v>
      </c>
      <c r="L104" s="255">
        <v>0</v>
      </c>
      <c r="M104" s="255">
        <v>60</v>
      </c>
      <c r="N104" s="255">
        <v>0</v>
      </c>
      <c r="O104" s="255">
        <v>60</v>
      </c>
      <c r="P104" s="255">
        <v>60</v>
      </c>
      <c r="Q104" s="42"/>
    </row>
    <row r="105" spans="1:17" ht="15" hidden="1">
      <c r="A105" s="316"/>
      <c r="B105" s="18"/>
      <c r="C105" s="18">
        <v>2460</v>
      </c>
      <c r="D105" s="18" t="s">
        <v>66</v>
      </c>
      <c r="E105" s="237"/>
      <c r="F105" s="237"/>
      <c r="G105" s="255">
        <v>0</v>
      </c>
      <c r="H105" s="255">
        <v>0</v>
      </c>
      <c r="I105" s="255"/>
      <c r="J105" s="228" t="e">
        <f t="shared" si="6"/>
        <v>#DIV/0!</v>
      </c>
      <c r="K105" s="237"/>
      <c r="L105" s="255"/>
      <c r="M105" s="255"/>
      <c r="N105" s="255"/>
      <c r="O105" s="255"/>
      <c r="P105" s="255"/>
      <c r="Q105" s="42"/>
    </row>
    <row r="106" spans="1:17" ht="15" customHeight="1">
      <c r="A106" s="316">
        <v>98116</v>
      </c>
      <c r="B106" s="18"/>
      <c r="C106" s="18">
        <v>4111</v>
      </c>
      <c r="D106" s="18" t="s">
        <v>67</v>
      </c>
      <c r="E106" s="237">
        <v>1116.4</v>
      </c>
      <c r="F106" s="237">
        <v>1127.9</v>
      </c>
      <c r="G106" s="255">
        <v>0</v>
      </c>
      <c r="H106" s="255">
        <v>1095.4</v>
      </c>
      <c r="I106" s="255">
        <v>1095.4</v>
      </c>
      <c r="J106" s="228">
        <f t="shared" si="6"/>
        <v>100</v>
      </c>
      <c r="K106" s="237">
        <v>1610</v>
      </c>
      <c r="L106" s="255">
        <v>0</v>
      </c>
      <c r="M106" s="255">
        <v>0</v>
      </c>
      <c r="N106" s="255">
        <v>0</v>
      </c>
      <c r="O106" s="255">
        <v>0</v>
      </c>
      <c r="P106" s="255">
        <v>0</v>
      </c>
      <c r="Q106" s="42"/>
    </row>
    <row r="107" spans="1:17" ht="15" customHeight="1">
      <c r="A107" s="316">
        <v>98216</v>
      </c>
      <c r="B107" s="18"/>
      <c r="C107" s="18">
        <v>4111</v>
      </c>
      <c r="D107" s="18" t="s">
        <v>68</v>
      </c>
      <c r="E107" s="237">
        <v>4194</v>
      </c>
      <c r="F107" s="237">
        <v>3377.9</v>
      </c>
      <c r="G107" s="255">
        <v>0</v>
      </c>
      <c r="H107" s="255">
        <v>3162.8</v>
      </c>
      <c r="I107" s="255">
        <v>3162.8</v>
      </c>
      <c r="J107" s="228">
        <f t="shared" si="6"/>
        <v>100</v>
      </c>
      <c r="K107" s="237">
        <v>3163</v>
      </c>
      <c r="L107" s="255">
        <v>0</v>
      </c>
      <c r="M107" s="255">
        <v>0</v>
      </c>
      <c r="N107" s="255">
        <v>0</v>
      </c>
      <c r="O107" s="255">
        <v>0</v>
      </c>
      <c r="P107" s="255">
        <v>0</v>
      </c>
      <c r="Q107" s="42"/>
    </row>
    <row r="108" spans="1:17" ht="15" customHeight="1">
      <c r="A108" s="316">
        <v>98348</v>
      </c>
      <c r="B108" s="18"/>
      <c r="C108" s="18">
        <v>4111</v>
      </c>
      <c r="D108" s="18" t="s">
        <v>69</v>
      </c>
      <c r="E108" s="237">
        <v>0</v>
      </c>
      <c r="F108" s="237">
        <v>455</v>
      </c>
      <c r="G108" s="255">
        <v>0</v>
      </c>
      <c r="H108" s="255">
        <v>460</v>
      </c>
      <c r="I108" s="255">
        <v>460</v>
      </c>
      <c r="J108" s="228">
        <f t="shared" si="6"/>
        <v>100</v>
      </c>
      <c r="K108" s="237">
        <v>460</v>
      </c>
      <c r="L108" s="255">
        <v>0</v>
      </c>
      <c r="M108" s="255">
        <v>0</v>
      </c>
      <c r="N108" s="255">
        <v>0</v>
      </c>
      <c r="O108" s="255">
        <v>0</v>
      </c>
      <c r="P108" s="255">
        <v>0</v>
      </c>
      <c r="Q108" s="42"/>
    </row>
    <row r="109" spans="1:17" ht="14.25" customHeight="1">
      <c r="A109" s="316"/>
      <c r="B109" s="18"/>
      <c r="C109" s="18">
        <v>4116</v>
      </c>
      <c r="D109" s="18" t="s">
        <v>70</v>
      </c>
      <c r="E109" s="237">
        <f>363.9+2.7</f>
        <v>366.59999999999997</v>
      </c>
      <c r="F109" s="237">
        <v>1006.9</v>
      </c>
      <c r="G109" s="255">
        <v>0</v>
      </c>
      <c r="H109" s="255">
        <v>1241.9</v>
      </c>
      <c r="I109" s="255">
        <v>1188.1</v>
      </c>
      <c r="J109" s="228">
        <f t="shared" si="6"/>
        <v>95.6679281745712</v>
      </c>
      <c r="K109" s="237">
        <v>1689</v>
      </c>
      <c r="L109" s="255">
        <v>0</v>
      </c>
      <c r="M109" s="255">
        <v>0</v>
      </c>
      <c r="N109" s="255">
        <v>0</v>
      </c>
      <c r="O109" s="255">
        <v>0</v>
      </c>
      <c r="P109" s="255">
        <v>0</v>
      </c>
      <c r="Q109" s="42"/>
    </row>
    <row r="110" spans="1:17" ht="14.25" customHeight="1">
      <c r="A110" s="316"/>
      <c r="B110" s="18"/>
      <c r="C110" s="18">
        <v>4116</v>
      </c>
      <c r="D110" s="18" t="s">
        <v>434</v>
      </c>
      <c r="E110" s="237">
        <v>0</v>
      </c>
      <c r="F110" s="237">
        <v>0</v>
      </c>
      <c r="G110" s="255">
        <v>0</v>
      </c>
      <c r="H110" s="255">
        <v>58.3</v>
      </c>
      <c r="I110" s="255">
        <v>58.3</v>
      </c>
      <c r="J110" s="228">
        <f t="shared" si="6"/>
        <v>100</v>
      </c>
      <c r="K110" s="237">
        <v>58</v>
      </c>
      <c r="L110" s="255">
        <v>0</v>
      </c>
      <c r="M110" s="255">
        <v>0</v>
      </c>
      <c r="N110" s="255">
        <v>0</v>
      </c>
      <c r="O110" s="255">
        <v>0</v>
      </c>
      <c r="P110" s="255">
        <v>0</v>
      </c>
      <c r="Q110" s="42"/>
    </row>
    <row r="111" spans="1:17" ht="15" customHeight="1">
      <c r="A111" s="316"/>
      <c r="B111" s="18"/>
      <c r="C111" s="18">
        <v>4121</v>
      </c>
      <c r="D111" s="18" t="s">
        <v>498</v>
      </c>
      <c r="E111" s="237">
        <f>32+13.1</f>
        <v>45.1</v>
      </c>
      <c r="F111" s="237">
        <f>51+64.3+900</f>
        <v>1015.3</v>
      </c>
      <c r="G111" s="255">
        <v>0</v>
      </c>
      <c r="H111" s="255">
        <v>100</v>
      </c>
      <c r="I111" s="255">
        <v>182</v>
      </c>
      <c r="J111" s="228">
        <f t="shared" si="6"/>
        <v>182</v>
      </c>
      <c r="K111" s="237">
        <v>200</v>
      </c>
      <c r="L111" s="255">
        <v>0</v>
      </c>
      <c r="M111" s="255">
        <v>0</v>
      </c>
      <c r="N111" s="255">
        <v>0</v>
      </c>
      <c r="O111" s="255">
        <v>0</v>
      </c>
      <c r="P111" s="255">
        <v>0</v>
      </c>
      <c r="Q111" s="42"/>
    </row>
    <row r="112" spans="1:17" ht="15" customHeight="1" hidden="1">
      <c r="A112" s="316"/>
      <c r="B112" s="18"/>
      <c r="C112" s="18">
        <v>4122</v>
      </c>
      <c r="D112" s="18" t="s">
        <v>71</v>
      </c>
      <c r="E112" s="237"/>
      <c r="F112" s="237"/>
      <c r="G112" s="255">
        <v>0</v>
      </c>
      <c r="H112" s="255">
        <v>0</v>
      </c>
      <c r="I112" s="255"/>
      <c r="J112" s="228" t="e">
        <f t="shared" si="6"/>
        <v>#DIV/0!</v>
      </c>
      <c r="K112" s="237"/>
      <c r="L112" s="255">
        <v>0</v>
      </c>
      <c r="M112" s="255">
        <v>0</v>
      </c>
      <c r="N112" s="255">
        <v>0</v>
      </c>
      <c r="O112" s="255">
        <v>0</v>
      </c>
      <c r="P112" s="255">
        <v>0</v>
      </c>
      <c r="Q112" s="42"/>
    </row>
    <row r="113" spans="1:17" ht="15">
      <c r="A113" s="316"/>
      <c r="B113" s="18"/>
      <c r="C113" s="18">
        <v>4132</v>
      </c>
      <c r="D113" s="18" t="s">
        <v>72</v>
      </c>
      <c r="E113" s="237">
        <v>985.6</v>
      </c>
      <c r="F113" s="237">
        <v>1293.1</v>
      </c>
      <c r="G113" s="255">
        <v>0</v>
      </c>
      <c r="H113" s="255">
        <v>1004.9</v>
      </c>
      <c r="I113" s="255">
        <v>1005</v>
      </c>
      <c r="J113" s="228">
        <f t="shared" si="6"/>
        <v>100.00995123892923</v>
      </c>
      <c r="K113" s="237">
        <v>1005</v>
      </c>
      <c r="L113" s="255">
        <v>0</v>
      </c>
      <c r="M113" s="255">
        <v>0</v>
      </c>
      <c r="N113" s="255">
        <v>0</v>
      </c>
      <c r="O113" s="255">
        <v>0</v>
      </c>
      <c r="P113" s="255">
        <v>0</v>
      </c>
      <c r="Q113" s="42"/>
    </row>
    <row r="114" spans="1:17" ht="15" hidden="1">
      <c r="A114" s="316"/>
      <c r="B114" s="18"/>
      <c r="C114" s="18">
        <v>4222</v>
      </c>
      <c r="D114" s="18" t="s">
        <v>73</v>
      </c>
      <c r="E114" s="237"/>
      <c r="F114" s="237"/>
      <c r="G114" s="255">
        <v>0</v>
      </c>
      <c r="H114" s="255">
        <v>0</v>
      </c>
      <c r="I114" s="255"/>
      <c r="J114" s="228" t="e">
        <f t="shared" si="6"/>
        <v>#DIV/0!</v>
      </c>
      <c r="K114" s="237"/>
      <c r="L114" s="255">
        <v>0</v>
      </c>
      <c r="M114" s="255">
        <v>0</v>
      </c>
      <c r="N114" s="255">
        <v>0</v>
      </c>
      <c r="O114" s="255">
        <v>0</v>
      </c>
      <c r="P114" s="255">
        <v>0</v>
      </c>
      <c r="Q114" s="42"/>
    </row>
    <row r="115" spans="1:17" ht="15">
      <c r="A115" s="316"/>
      <c r="B115" s="18">
        <v>2212</v>
      </c>
      <c r="C115" s="18">
        <v>2322</v>
      </c>
      <c r="D115" s="18" t="s">
        <v>74</v>
      </c>
      <c r="E115" s="228">
        <v>0</v>
      </c>
      <c r="F115" s="228">
        <v>0</v>
      </c>
      <c r="G115" s="228">
        <v>0</v>
      </c>
      <c r="H115" s="228">
        <v>0</v>
      </c>
      <c r="I115" s="228">
        <v>21.6</v>
      </c>
      <c r="J115" s="228" t="e">
        <f t="shared" si="6"/>
        <v>#DIV/0!</v>
      </c>
      <c r="K115" s="228">
        <v>22</v>
      </c>
      <c r="L115" s="255">
        <v>0</v>
      </c>
      <c r="M115" s="255">
        <v>0</v>
      </c>
      <c r="N115" s="255">
        <v>0</v>
      </c>
      <c r="O115" s="255">
        <v>0</v>
      </c>
      <c r="P115" s="255">
        <v>0</v>
      </c>
      <c r="Q115" s="19"/>
    </row>
    <row r="116" spans="1:17" ht="15">
      <c r="A116" s="316"/>
      <c r="B116" s="18">
        <v>2212</v>
      </c>
      <c r="C116" s="18">
        <v>2324</v>
      </c>
      <c r="D116" s="18" t="s">
        <v>75</v>
      </c>
      <c r="E116" s="228">
        <v>0</v>
      </c>
      <c r="F116" s="228">
        <v>0</v>
      </c>
      <c r="G116" s="228">
        <v>0</v>
      </c>
      <c r="H116" s="228">
        <v>0</v>
      </c>
      <c r="I116" s="228">
        <v>2.3</v>
      </c>
      <c r="J116" s="228" t="e">
        <f t="shared" si="6"/>
        <v>#DIV/0!</v>
      </c>
      <c r="K116" s="228">
        <v>3</v>
      </c>
      <c r="L116" s="255">
        <v>0</v>
      </c>
      <c r="M116" s="255">
        <v>0</v>
      </c>
      <c r="N116" s="255">
        <v>0</v>
      </c>
      <c r="O116" s="255">
        <v>0</v>
      </c>
      <c r="P116" s="255">
        <v>0</v>
      </c>
      <c r="Q116" s="19"/>
    </row>
    <row r="117" spans="1:17" ht="15">
      <c r="A117" s="316"/>
      <c r="B117" s="18">
        <v>2219</v>
      </c>
      <c r="C117" s="18">
        <v>2131</v>
      </c>
      <c r="D117" s="18" t="s">
        <v>76</v>
      </c>
      <c r="E117" s="237">
        <v>4444.4</v>
      </c>
      <c r="F117" s="237">
        <f>5466+18</f>
        <v>5484</v>
      </c>
      <c r="G117" s="254">
        <v>5500</v>
      </c>
      <c r="H117" s="254">
        <v>0</v>
      </c>
      <c r="I117" s="254">
        <v>5.4</v>
      </c>
      <c r="J117" s="228" t="e">
        <f t="shared" si="6"/>
        <v>#DIV/0!</v>
      </c>
      <c r="K117" s="237">
        <v>5</v>
      </c>
      <c r="L117" s="255">
        <v>0</v>
      </c>
      <c r="M117" s="255">
        <v>0</v>
      </c>
      <c r="N117" s="255">
        <v>0</v>
      </c>
      <c r="O117" s="255">
        <v>0</v>
      </c>
      <c r="P117" s="255">
        <v>0</v>
      </c>
      <c r="Q117" s="41"/>
    </row>
    <row r="118" spans="1:17" ht="15">
      <c r="A118" s="316"/>
      <c r="B118" s="18">
        <v>2219</v>
      </c>
      <c r="C118" s="18">
        <v>2133</v>
      </c>
      <c r="D118" s="18" t="s">
        <v>77</v>
      </c>
      <c r="E118" s="237">
        <v>0</v>
      </c>
      <c r="F118" s="237">
        <v>18</v>
      </c>
      <c r="G118" s="255">
        <v>0</v>
      </c>
      <c r="H118" s="255">
        <v>0</v>
      </c>
      <c r="I118" s="255">
        <v>100.8</v>
      </c>
      <c r="J118" s="228" t="e">
        <f t="shared" si="6"/>
        <v>#DIV/0!</v>
      </c>
      <c r="K118" s="237">
        <v>110</v>
      </c>
      <c r="L118" s="255">
        <v>0</v>
      </c>
      <c r="M118" s="255">
        <v>80</v>
      </c>
      <c r="N118" s="255">
        <v>0</v>
      </c>
      <c r="O118" s="255">
        <v>80</v>
      </c>
      <c r="P118" s="255">
        <v>80</v>
      </c>
      <c r="Q118" s="42"/>
    </row>
    <row r="119" spans="1:17" ht="15">
      <c r="A119" s="316"/>
      <c r="B119" s="18">
        <v>2219</v>
      </c>
      <c r="C119" s="18">
        <v>2329</v>
      </c>
      <c r="D119" s="18" t="s">
        <v>78</v>
      </c>
      <c r="E119" s="228">
        <v>0</v>
      </c>
      <c r="F119" s="228">
        <v>0</v>
      </c>
      <c r="G119" s="228">
        <v>0</v>
      </c>
      <c r="H119" s="228">
        <v>5300</v>
      </c>
      <c r="I119" s="228">
        <v>4118.7</v>
      </c>
      <c r="J119" s="228">
        <f t="shared" si="6"/>
        <v>77.71132075471698</v>
      </c>
      <c r="K119" s="228">
        <v>5200</v>
      </c>
      <c r="L119" s="228">
        <v>4200</v>
      </c>
      <c r="M119" s="228">
        <v>5600</v>
      </c>
      <c r="N119" s="228">
        <v>4400</v>
      </c>
      <c r="O119" s="228">
        <v>5200</v>
      </c>
      <c r="P119" s="228">
        <v>5200</v>
      </c>
      <c r="Q119" s="19"/>
    </row>
    <row r="120" spans="1:17" ht="15" hidden="1">
      <c r="A120" s="316"/>
      <c r="B120" s="18">
        <v>2229</v>
      </c>
      <c r="C120" s="18">
        <v>2324</v>
      </c>
      <c r="D120" s="18" t="s">
        <v>79</v>
      </c>
      <c r="E120" s="237"/>
      <c r="F120" s="237"/>
      <c r="G120" s="237"/>
      <c r="H120" s="237"/>
      <c r="I120" s="237"/>
      <c r="J120" s="228" t="e">
        <f t="shared" si="6"/>
        <v>#DIV/0!</v>
      </c>
      <c r="K120" s="237"/>
      <c r="L120" s="237"/>
      <c r="M120" s="237"/>
      <c r="N120" s="237"/>
      <c r="O120" s="237"/>
      <c r="P120" s="237"/>
      <c r="Q120" s="17"/>
    </row>
    <row r="121" spans="1:17" ht="15" hidden="1">
      <c r="A121" s="316"/>
      <c r="B121" s="18">
        <v>2221</v>
      </c>
      <c r="C121" s="18">
        <v>2329</v>
      </c>
      <c r="D121" s="18" t="s">
        <v>80</v>
      </c>
      <c r="E121" s="237"/>
      <c r="F121" s="237"/>
      <c r="G121" s="237">
        <v>0</v>
      </c>
      <c r="H121" s="237">
        <v>0</v>
      </c>
      <c r="I121" s="237"/>
      <c r="J121" s="228" t="e">
        <f t="shared" si="6"/>
        <v>#DIV/0!</v>
      </c>
      <c r="K121" s="237"/>
      <c r="L121" s="237"/>
      <c r="M121" s="237"/>
      <c r="N121" s="237"/>
      <c r="O121" s="237"/>
      <c r="P121" s="237"/>
      <c r="Q121" s="17"/>
    </row>
    <row r="122" spans="1:17" ht="15">
      <c r="A122" s="316"/>
      <c r="B122" s="18">
        <v>3341</v>
      </c>
      <c r="C122" s="18">
        <v>2111</v>
      </c>
      <c r="D122" s="18" t="s">
        <v>81</v>
      </c>
      <c r="E122" s="237">
        <v>6.3</v>
      </c>
      <c r="F122" s="237">
        <v>7</v>
      </c>
      <c r="G122" s="253">
        <v>5</v>
      </c>
      <c r="H122" s="253">
        <v>5</v>
      </c>
      <c r="I122" s="253">
        <v>3.4</v>
      </c>
      <c r="J122" s="228">
        <f t="shared" si="6"/>
        <v>68</v>
      </c>
      <c r="K122" s="237">
        <v>5</v>
      </c>
      <c r="L122" s="253">
        <v>5</v>
      </c>
      <c r="M122" s="256">
        <v>5</v>
      </c>
      <c r="N122" s="253">
        <v>5</v>
      </c>
      <c r="O122" s="256">
        <v>5</v>
      </c>
      <c r="P122" s="256">
        <v>5</v>
      </c>
      <c r="Q122" s="204"/>
    </row>
    <row r="123" spans="1:17" ht="15">
      <c r="A123" s="316"/>
      <c r="B123" s="18">
        <v>3349</v>
      </c>
      <c r="C123" s="18">
        <v>2111</v>
      </c>
      <c r="D123" s="18" t="s">
        <v>82</v>
      </c>
      <c r="E123" s="237">
        <v>1123.4</v>
      </c>
      <c r="F123" s="237">
        <v>0</v>
      </c>
      <c r="G123" s="257">
        <v>0</v>
      </c>
      <c r="H123" s="257">
        <v>0</v>
      </c>
      <c r="I123" s="257">
        <v>0</v>
      </c>
      <c r="J123" s="228" t="e">
        <f t="shared" si="6"/>
        <v>#DIV/0!</v>
      </c>
      <c r="K123" s="237">
        <v>0</v>
      </c>
      <c r="L123" s="257"/>
      <c r="M123" s="258">
        <v>0</v>
      </c>
      <c r="N123" s="257"/>
      <c r="O123" s="258">
        <v>0</v>
      </c>
      <c r="P123" s="258">
        <v>0</v>
      </c>
      <c r="Q123" s="203"/>
    </row>
    <row r="124" spans="1:17" ht="15">
      <c r="A124" s="316"/>
      <c r="B124" s="18">
        <v>3631</v>
      </c>
      <c r="C124" s="18">
        <v>2133</v>
      </c>
      <c r="D124" s="18" t="s">
        <v>83</v>
      </c>
      <c r="E124" s="228">
        <v>556.9</v>
      </c>
      <c r="F124" s="228">
        <v>633.8</v>
      </c>
      <c r="G124" s="239">
        <v>387</v>
      </c>
      <c r="H124" s="239">
        <v>387</v>
      </c>
      <c r="I124" s="239">
        <v>440.1</v>
      </c>
      <c r="J124" s="228">
        <f t="shared" si="6"/>
        <v>113.72093023255813</v>
      </c>
      <c r="K124" s="228">
        <v>550</v>
      </c>
      <c r="L124" s="239">
        <v>100</v>
      </c>
      <c r="M124" s="239">
        <v>500</v>
      </c>
      <c r="N124" s="239">
        <v>100</v>
      </c>
      <c r="O124" s="239">
        <v>400</v>
      </c>
      <c r="P124" s="239">
        <v>400</v>
      </c>
      <c r="Q124" s="31"/>
    </row>
    <row r="125" spans="1:17" ht="15">
      <c r="A125" s="316"/>
      <c r="B125" s="18">
        <v>3631</v>
      </c>
      <c r="C125" s="18">
        <v>2322</v>
      </c>
      <c r="D125" s="18" t="s">
        <v>84</v>
      </c>
      <c r="E125" s="228">
        <v>15.3</v>
      </c>
      <c r="F125" s="228">
        <v>8.9</v>
      </c>
      <c r="G125" s="228">
        <v>0</v>
      </c>
      <c r="H125" s="228">
        <v>0</v>
      </c>
      <c r="I125" s="228">
        <v>1.4</v>
      </c>
      <c r="J125" s="228" t="e">
        <f t="shared" si="6"/>
        <v>#DIV/0!</v>
      </c>
      <c r="K125" s="228">
        <v>2</v>
      </c>
      <c r="L125" s="228">
        <v>0</v>
      </c>
      <c r="M125" s="228">
        <v>0</v>
      </c>
      <c r="N125" s="228">
        <v>0</v>
      </c>
      <c r="O125" s="228">
        <v>0</v>
      </c>
      <c r="P125" s="228">
        <v>0</v>
      </c>
      <c r="Q125" s="19"/>
    </row>
    <row r="126" spans="1:17" ht="15">
      <c r="A126" s="316"/>
      <c r="B126" s="18">
        <v>3631</v>
      </c>
      <c r="C126" s="18">
        <v>2324</v>
      </c>
      <c r="D126" s="18" t="s">
        <v>85</v>
      </c>
      <c r="E126" s="228">
        <v>5.1</v>
      </c>
      <c r="F126" s="228">
        <v>0</v>
      </c>
      <c r="G126" s="228">
        <v>0</v>
      </c>
      <c r="H126" s="228">
        <v>0</v>
      </c>
      <c r="I126" s="228">
        <v>13</v>
      </c>
      <c r="J126" s="228" t="e">
        <f t="shared" si="6"/>
        <v>#DIV/0!</v>
      </c>
      <c r="K126" s="228">
        <v>13</v>
      </c>
      <c r="L126" s="228">
        <v>0</v>
      </c>
      <c r="M126" s="228">
        <v>0</v>
      </c>
      <c r="N126" s="228">
        <v>0</v>
      </c>
      <c r="O126" s="228">
        <v>0</v>
      </c>
      <c r="P126" s="228">
        <v>0</v>
      </c>
      <c r="Q126" s="19"/>
    </row>
    <row r="127" spans="1:17" ht="15">
      <c r="A127" s="316"/>
      <c r="B127" s="18">
        <v>3632</v>
      </c>
      <c r="C127" s="18">
        <v>2111</v>
      </c>
      <c r="D127" s="18" t="s">
        <v>86</v>
      </c>
      <c r="E127" s="228">
        <v>285.7</v>
      </c>
      <c r="F127" s="228">
        <v>268.9</v>
      </c>
      <c r="G127" s="259">
        <v>200</v>
      </c>
      <c r="H127" s="259">
        <v>380</v>
      </c>
      <c r="I127" s="259">
        <v>380.9</v>
      </c>
      <c r="J127" s="228">
        <f t="shared" si="6"/>
        <v>100.23684210526315</v>
      </c>
      <c r="K127" s="228">
        <v>440</v>
      </c>
      <c r="L127" s="259">
        <v>200</v>
      </c>
      <c r="M127" s="239">
        <v>300</v>
      </c>
      <c r="N127" s="259">
        <v>200</v>
      </c>
      <c r="O127" s="239">
        <v>300</v>
      </c>
      <c r="P127" s="239">
        <v>300</v>
      </c>
      <c r="Q127" s="205"/>
    </row>
    <row r="128" spans="1:17" ht="15">
      <c r="A128" s="316"/>
      <c r="B128" s="18">
        <v>3632</v>
      </c>
      <c r="C128" s="18">
        <v>2132</v>
      </c>
      <c r="D128" s="18" t="s">
        <v>87</v>
      </c>
      <c r="E128" s="228">
        <v>25</v>
      </c>
      <c r="F128" s="228">
        <v>25</v>
      </c>
      <c r="G128" s="239">
        <v>25</v>
      </c>
      <c r="H128" s="239">
        <v>25</v>
      </c>
      <c r="I128" s="239">
        <v>20</v>
      </c>
      <c r="J128" s="228">
        <f t="shared" si="6"/>
        <v>80</v>
      </c>
      <c r="K128" s="228">
        <v>25</v>
      </c>
      <c r="L128" s="239">
        <v>25</v>
      </c>
      <c r="M128" s="239">
        <v>25</v>
      </c>
      <c r="N128" s="239">
        <v>25</v>
      </c>
      <c r="O128" s="239">
        <v>25</v>
      </c>
      <c r="P128" s="239">
        <v>25</v>
      </c>
      <c r="Q128" s="31"/>
    </row>
    <row r="129" spans="1:17" ht="15">
      <c r="A129" s="316"/>
      <c r="B129" s="18">
        <v>3632</v>
      </c>
      <c r="C129" s="18">
        <v>2324</v>
      </c>
      <c r="D129" s="18" t="s">
        <v>88</v>
      </c>
      <c r="E129" s="228">
        <v>4.4</v>
      </c>
      <c r="F129" s="228">
        <v>18.2</v>
      </c>
      <c r="G129" s="239">
        <v>0</v>
      </c>
      <c r="H129" s="239">
        <v>0</v>
      </c>
      <c r="I129" s="239">
        <v>4.8</v>
      </c>
      <c r="J129" s="228" t="e">
        <f t="shared" si="6"/>
        <v>#DIV/0!</v>
      </c>
      <c r="K129" s="228">
        <v>5</v>
      </c>
      <c r="L129" s="239">
        <v>0</v>
      </c>
      <c r="M129" s="239">
        <v>0</v>
      </c>
      <c r="N129" s="239">
        <v>0</v>
      </c>
      <c r="O129" s="239">
        <v>0</v>
      </c>
      <c r="P129" s="239">
        <v>0</v>
      </c>
      <c r="Q129" s="31"/>
    </row>
    <row r="130" spans="1:17" ht="15">
      <c r="A130" s="316"/>
      <c r="B130" s="18">
        <v>3632</v>
      </c>
      <c r="C130" s="18">
        <v>2329</v>
      </c>
      <c r="D130" s="18" t="s">
        <v>89</v>
      </c>
      <c r="E130" s="228">
        <v>68.8</v>
      </c>
      <c r="F130" s="228">
        <v>131.5</v>
      </c>
      <c r="G130" s="239">
        <v>50</v>
      </c>
      <c r="H130" s="239">
        <v>50</v>
      </c>
      <c r="I130" s="239">
        <v>72.9</v>
      </c>
      <c r="J130" s="228">
        <f t="shared" si="6"/>
        <v>145.8</v>
      </c>
      <c r="K130" s="228">
        <v>90</v>
      </c>
      <c r="L130" s="239">
        <v>50</v>
      </c>
      <c r="M130" s="239">
        <v>100</v>
      </c>
      <c r="N130" s="239">
        <v>50</v>
      </c>
      <c r="O130" s="239">
        <v>100</v>
      </c>
      <c r="P130" s="239">
        <v>100</v>
      </c>
      <c r="Q130" s="31"/>
    </row>
    <row r="131" spans="1:17" ht="15" hidden="1">
      <c r="A131" s="316"/>
      <c r="B131" s="18">
        <v>3722</v>
      </c>
      <c r="C131" s="18">
        <v>2324</v>
      </c>
      <c r="D131" s="18" t="s">
        <v>90</v>
      </c>
      <c r="E131" s="228"/>
      <c r="F131" s="228"/>
      <c r="G131" s="239">
        <v>0</v>
      </c>
      <c r="H131" s="239">
        <v>0</v>
      </c>
      <c r="I131" s="239"/>
      <c r="J131" s="228" t="e">
        <f t="shared" si="6"/>
        <v>#DIV/0!</v>
      </c>
      <c r="K131" s="228"/>
      <c r="L131" s="239"/>
      <c r="M131" s="239"/>
      <c r="N131" s="239"/>
      <c r="O131" s="239"/>
      <c r="P131" s="239"/>
      <c r="Q131" s="31"/>
    </row>
    <row r="132" spans="1:17" ht="15">
      <c r="A132" s="316"/>
      <c r="B132" s="18">
        <v>3722</v>
      </c>
      <c r="C132" s="18">
        <v>2324</v>
      </c>
      <c r="D132" s="18" t="s">
        <v>435</v>
      </c>
      <c r="E132" s="228">
        <v>36</v>
      </c>
      <c r="F132" s="228">
        <v>14</v>
      </c>
      <c r="G132" s="239">
        <v>0</v>
      </c>
      <c r="H132" s="239">
        <v>0</v>
      </c>
      <c r="I132" s="239">
        <v>7.1</v>
      </c>
      <c r="J132" s="228" t="e">
        <f t="shared" si="6"/>
        <v>#DIV/0!</v>
      </c>
      <c r="K132" s="228">
        <v>7</v>
      </c>
      <c r="L132" s="239">
        <v>0</v>
      </c>
      <c r="M132" s="239">
        <v>0</v>
      </c>
      <c r="N132" s="239">
        <v>0</v>
      </c>
      <c r="O132" s="239">
        <v>0</v>
      </c>
      <c r="P132" s="239">
        <v>0</v>
      </c>
      <c r="Q132" s="31"/>
    </row>
    <row r="133" spans="1:17" ht="15">
      <c r="A133" s="316"/>
      <c r="B133" s="18">
        <v>3745</v>
      </c>
      <c r="C133" s="18">
        <v>2324</v>
      </c>
      <c r="D133" s="18" t="s">
        <v>91</v>
      </c>
      <c r="E133" s="228">
        <v>521</v>
      </c>
      <c r="F133" s="228">
        <v>212.1</v>
      </c>
      <c r="G133" s="239">
        <v>0</v>
      </c>
      <c r="H133" s="239">
        <v>0</v>
      </c>
      <c r="I133" s="239">
        <v>0.8</v>
      </c>
      <c r="J133" s="228" t="e">
        <f t="shared" si="6"/>
        <v>#DIV/0!</v>
      </c>
      <c r="K133" s="228">
        <v>1</v>
      </c>
      <c r="L133" s="239">
        <v>0</v>
      </c>
      <c r="M133" s="239">
        <v>0</v>
      </c>
      <c r="N133" s="239">
        <v>0</v>
      </c>
      <c r="O133" s="239">
        <v>0</v>
      </c>
      <c r="P133" s="239">
        <v>0</v>
      </c>
      <c r="Q133" s="31"/>
    </row>
    <row r="134" spans="1:17" ht="15">
      <c r="A134" s="316"/>
      <c r="B134" s="18">
        <v>5512</v>
      </c>
      <c r="C134" s="18">
        <v>2132</v>
      </c>
      <c r="D134" s="18" t="s">
        <v>92</v>
      </c>
      <c r="E134" s="228">
        <v>10.9</v>
      </c>
      <c r="F134" s="228">
        <v>0</v>
      </c>
      <c r="G134" s="228">
        <v>0</v>
      </c>
      <c r="H134" s="228">
        <v>0</v>
      </c>
      <c r="I134" s="228">
        <v>6.5</v>
      </c>
      <c r="J134" s="228" t="e">
        <f t="shared" si="6"/>
        <v>#DIV/0!</v>
      </c>
      <c r="K134" s="228">
        <v>7</v>
      </c>
      <c r="L134" s="228">
        <v>0</v>
      </c>
      <c r="M134" s="228">
        <v>0</v>
      </c>
      <c r="N134" s="228">
        <v>0</v>
      </c>
      <c r="O134" s="228">
        <v>0</v>
      </c>
      <c r="P134" s="228">
        <v>0</v>
      </c>
      <c r="Q134" s="19"/>
    </row>
    <row r="135" spans="1:17" ht="15">
      <c r="A135" s="316"/>
      <c r="B135" s="18">
        <v>5512</v>
      </c>
      <c r="C135" s="18">
        <v>2324</v>
      </c>
      <c r="D135" s="18" t="s">
        <v>93</v>
      </c>
      <c r="E135" s="228">
        <f>136.5+0.8</f>
        <v>137.3</v>
      </c>
      <c r="F135" s="228">
        <v>0.9</v>
      </c>
      <c r="G135" s="228">
        <v>0</v>
      </c>
      <c r="H135" s="228">
        <v>0</v>
      </c>
      <c r="I135" s="228">
        <v>12.5</v>
      </c>
      <c r="J135" s="228" t="e">
        <f t="shared" si="6"/>
        <v>#DIV/0!</v>
      </c>
      <c r="K135" s="228">
        <v>13</v>
      </c>
      <c r="L135" s="228">
        <v>0</v>
      </c>
      <c r="M135" s="228">
        <v>0</v>
      </c>
      <c r="N135" s="228">
        <v>0</v>
      </c>
      <c r="O135" s="228">
        <v>0</v>
      </c>
      <c r="P135" s="228">
        <v>0</v>
      </c>
      <c r="Q135" s="19"/>
    </row>
    <row r="136" spans="1:17" ht="15">
      <c r="A136" s="316"/>
      <c r="B136" s="18">
        <v>6171</v>
      </c>
      <c r="C136" s="18">
        <v>2111</v>
      </c>
      <c r="D136" s="18" t="s">
        <v>94</v>
      </c>
      <c r="E136" s="237">
        <v>223.4</v>
      </c>
      <c r="F136" s="237">
        <v>200.4</v>
      </c>
      <c r="G136" s="253">
        <v>250</v>
      </c>
      <c r="H136" s="253">
        <v>250</v>
      </c>
      <c r="I136" s="253">
        <v>141.4</v>
      </c>
      <c r="J136" s="228">
        <f t="shared" si="6"/>
        <v>56.56</v>
      </c>
      <c r="K136" s="237">
        <v>170</v>
      </c>
      <c r="L136" s="253">
        <v>250</v>
      </c>
      <c r="M136" s="256">
        <v>150</v>
      </c>
      <c r="N136" s="253">
        <v>250</v>
      </c>
      <c r="O136" s="256">
        <v>150</v>
      </c>
      <c r="P136" s="256">
        <v>150</v>
      </c>
      <c r="Q136" s="204"/>
    </row>
    <row r="137" spans="1:17" ht="15">
      <c r="A137" s="316"/>
      <c r="B137" s="18">
        <v>6171</v>
      </c>
      <c r="C137" s="18">
        <v>2131</v>
      </c>
      <c r="D137" s="18" t="s">
        <v>95</v>
      </c>
      <c r="E137" s="237">
        <v>212.7</v>
      </c>
      <c r="F137" s="237">
        <v>169.7</v>
      </c>
      <c r="G137" s="254">
        <v>170</v>
      </c>
      <c r="H137" s="254">
        <v>170</v>
      </c>
      <c r="I137" s="254">
        <v>191</v>
      </c>
      <c r="J137" s="228">
        <f t="shared" si="6"/>
        <v>112.3529411764706</v>
      </c>
      <c r="K137" s="237">
        <v>200</v>
      </c>
      <c r="L137" s="254">
        <v>170</v>
      </c>
      <c r="M137" s="254">
        <v>200</v>
      </c>
      <c r="N137" s="254">
        <v>170</v>
      </c>
      <c r="O137" s="254">
        <v>200</v>
      </c>
      <c r="P137" s="254">
        <v>200</v>
      </c>
      <c r="Q137" s="41"/>
    </row>
    <row r="138" spans="1:17" ht="15">
      <c r="A138" s="316"/>
      <c r="B138" s="18">
        <v>6171</v>
      </c>
      <c r="C138" s="18">
        <v>2132</v>
      </c>
      <c r="D138" s="18" t="s">
        <v>96</v>
      </c>
      <c r="E138" s="228">
        <v>118</v>
      </c>
      <c r="F138" s="228">
        <v>93.1</v>
      </c>
      <c r="G138" s="239">
        <v>50</v>
      </c>
      <c r="H138" s="239">
        <v>50</v>
      </c>
      <c r="I138" s="239">
        <v>51.6</v>
      </c>
      <c r="J138" s="228">
        <f t="shared" si="6"/>
        <v>103.2</v>
      </c>
      <c r="K138" s="228">
        <v>70</v>
      </c>
      <c r="L138" s="239">
        <v>50</v>
      </c>
      <c r="M138" s="239">
        <v>50</v>
      </c>
      <c r="N138" s="239">
        <v>50</v>
      </c>
      <c r="O138" s="239">
        <v>50</v>
      </c>
      <c r="P138" s="239">
        <v>50</v>
      </c>
      <c r="Q138" s="31"/>
    </row>
    <row r="139" spans="1:17" ht="15" hidden="1">
      <c r="A139" s="316"/>
      <c r="B139" s="18">
        <v>6171</v>
      </c>
      <c r="C139" s="18">
        <v>2210</v>
      </c>
      <c r="D139" s="18" t="s">
        <v>97</v>
      </c>
      <c r="E139" s="229"/>
      <c r="F139" s="229"/>
      <c r="G139" s="229"/>
      <c r="H139" s="229"/>
      <c r="I139" s="229"/>
      <c r="J139" s="228" t="e">
        <f t="shared" si="6"/>
        <v>#DIV/0!</v>
      </c>
      <c r="K139" s="229"/>
      <c r="L139" s="229"/>
      <c r="M139" s="229"/>
      <c r="N139" s="229"/>
      <c r="O139" s="229"/>
      <c r="P139" s="229"/>
      <c r="Q139" s="21"/>
    </row>
    <row r="140" spans="1:17" ht="15" hidden="1">
      <c r="A140" s="316"/>
      <c r="B140" s="18">
        <v>6171</v>
      </c>
      <c r="C140" s="18">
        <v>2310</v>
      </c>
      <c r="D140" s="18" t="s">
        <v>98</v>
      </c>
      <c r="E140" s="228"/>
      <c r="F140" s="228"/>
      <c r="G140" s="228"/>
      <c r="H140" s="228"/>
      <c r="I140" s="228"/>
      <c r="J140" s="228" t="e">
        <f t="shared" si="6"/>
        <v>#DIV/0!</v>
      </c>
      <c r="K140" s="228"/>
      <c r="L140" s="228"/>
      <c r="M140" s="228"/>
      <c r="N140" s="228"/>
      <c r="O140" s="228"/>
      <c r="P140" s="228"/>
      <c r="Q140" s="19"/>
    </row>
    <row r="141" spans="1:17" ht="15" hidden="1">
      <c r="A141" s="316"/>
      <c r="B141" s="18">
        <v>6171</v>
      </c>
      <c r="C141" s="18">
        <v>2310</v>
      </c>
      <c r="D141" s="18" t="s">
        <v>98</v>
      </c>
      <c r="E141" s="228"/>
      <c r="F141" s="228"/>
      <c r="G141" s="228"/>
      <c r="H141" s="228"/>
      <c r="I141" s="228"/>
      <c r="J141" s="228" t="e">
        <f t="shared" si="6"/>
        <v>#DIV/0!</v>
      </c>
      <c r="K141" s="228"/>
      <c r="L141" s="228"/>
      <c r="M141" s="228"/>
      <c r="N141" s="228"/>
      <c r="O141" s="228"/>
      <c r="P141" s="228"/>
      <c r="Q141" s="19"/>
    </row>
    <row r="142" spans="1:17" ht="15">
      <c r="A142" s="316"/>
      <c r="B142" s="18">
        <v>6171</v>
      </c>
      <c r="C142" s="18">
        <v>2133</v>
      </c>
      <c r="D142" s="18" t="s">
        <v>99</v>
      </c>
      <c r="E142" s="237">
        <v>0</v>
      </c>
      <c r="F142" s="237">
        <f>59.7+27</f>
        <v>86.7</v>
      </c>
      <c r="G142" s="257">
        <v>0</v>
      </c>
      <c r="H142" s="257">
        <v>0</v>
      </c>
      <c r="I142" s="257">
        <v>88</v>
      </c>
      <c r="J142" s="228" t="e">
        <f t="shared" si="6"/>
        <v>#DIV/0!</v>
      </c>
      <c r="K142" s="237">
        <v>90</v>
      </c>
      <c r="L142" s="257">
        <v>0</v>
      </c>
      <c r="M142" s="258">
        <v>90</v>
      </c>
      <c r="N142" s="257">
        <v>0</v>
      </c>
      <c r="O142" s="258">
        <v>90</v>
      </c>
      <c r="P142" s="258">
        <v>90</v>
      </c>
      <c r="Q142" s="203"/>
    </row>
    <row r="143" spans="1:17" ht="15" hidden="1">
      <c r="A143" s="316"/>
      <c r="B143" s="18">
        <v>6171</v>
      </c>
      <c r="C143" s="18">
        <v>2321</v>
      </c>
      <c r="D143" s="18" t="s">
        <v>100</v>
      </c>
      <c r="E143" s="237"/>
      <c r="F143" s="237"/>
      <c r="G143" s="257">
        <v>0</v>
      </c>
      <c r="H143" s="257">
        <v>0</v>
      </c>
      <c r="I143" s="257"/>
      <c r="J143" s="228" t="e">
        <f t="shared" si="6"/>
        <v>#DIV/0!</v>
      </c>
      <c r="K143" s="237"/>
      <c r="L143" s="257"/>
      <c r="M143" s="258"/>
      <c r="N143" s="257"/>
      <c r="O143" s="258"/>
      <c r="P143" s="258"/>
      <c r="Q143" s="203"/>
    </row>
    <row r="144" spans="1:17" ht="15">
      <c r="A144" s="316"/>
      <c r="B144" s="18">
        <v>6171</v>
      </c>
      <c r="C144" s="18">
        <v>2210</v>
      </c>
      <c r="D144" s="18" t="s">
        <v>101</v>
      </c>
      <c r="E144" s="228">
        <v>60</v>
      </c>
      <c r="F144" s="228">
        <v>0</v>
      </c>
      <c r="G144" s="239">
        <v>0</v>
      </c>
      <c r="H144" s="239">
        <v>0</v>
      </c>
      <c r="I144" s="239">
        <v>78.8</v>
      </c>
      <c r="J144" s="228" t="e">
        <f t="shared" si="6"/>
        <v>#DIV/0!</v>
      </c>
      <c r="K144" s="228">
        <v>80</v>
      </c>
      <c r="L144" s="239">
        <v>0</v>
      </c>
      <c r="M144" s="239">
        <v>0</v>
      </c>
      <c r="N144" s="239">
        <v>0</v>
      </c>
      <c r="O144" s="239">
        <v>0</v>
      </c>
      <c r="P144" s="239">
        <v>0</v>
      </c>
      <c r="Q144" s="31"/>
    </row>
    <row r="145" spans="1:17" ht="15">
      <c r="A145" s="316"/>
      <c r="B145" s="18">
        <v>6171</v>
      </c>
      <c r="C145" s="18">
        <v>2322</v>
      </c>
      <c r="D145" s="18" t="s">
        <v>102</v>
      </c>
      <c r="E145" s="228">
        <v>98.5</v>
      </c>
      <c r="F145" s="228">
        <v>33.3</v>
      </c>
      <c r="G145" s="239">
        <v>0</v>
      </c>
      <c r="H145" s="239">
        <v>0</v>
      </c>
      <c r="I145" s="239">
        <v>46</v>
      </c>
      <c r="J145" s="228" t="e">
        <f t="shared" si="6"/>
        <v>#DIV/0!</v>
      </c>
      <c r="K145" s="228">
        <v>46</v>
      </c>
      <c r="L145" s="239">
        <v>0</v>
      </c>
      <c r="M145" s="239">
        <v>0</v>
      </c>
      <c r="N145" s="239">
        <v>0</v>
      </c>
      <c r="O145" s="239">
        <v>0</v>
      </c>
      <c r="P145" s="239">
        <v>0</v>
      </c>
      <c r="Q145" s="31"/>
    </row>
    <row r="146" spans="1:17" ht="15">
      <c r="A146" s="316"/>
      <c r="B146" s="18">
        <v>6171</v>
      </c>
      <c r="C146" s="18">
        <v>2324</v>
      </c>
      <c r="D146" s="18" t="s">
        <v>103</v>
      </c>
      <c r="E146" s="228">
        <v>273.7</v>
      </c>
      <c r="F146" s="228">
        <v>462.2</v>
      </c>
      <c r="G146" s="239">
        <v>350</v>
      </c>
      <c r="H146" s="239">
        <v>350</v>
      </c>
      <c r="I146" s="239">
        <v>60.9</v>
      </c>
      <c r="J146" s="228">
        <f t="shared" si="6"/>
        <v>17.4</v>
      </c>
      <c r="K146" s="228">
        <v>65</v>
      </c>
      <c r="L146" s="239">
        <v>350</v>
      </c>
      <c r="M146" s="239">
        <v>100</v>
      </c>
      <c r="N146" s="239">
        <v>350</v>
      </c>
      <c r="O146" s="239">
        <v>100</v>
      </c>
      <c r="P146" s="239">
        <v>100</v>
      </c>
      <c r="Q146" s="31"/>
    </row>
    <row r="147" spans="1:17" ht="15">
      <c r="A147" s="316"/>
      <c r="B147" s="18">
        <v>6171</v>
      </c>
      <c r="C147" s="18">
        <v>2329</v>
      </c>
      <c r="D147" s="18" t="s">
        <v>104</v>
      </c>
      <c r="E147" s="228">
        <f>31.1+22</f>
        <v>53.1</v>
      </c>
      <c r="F147" s="228">
        <v>0.8</v>
      </c>
      <c r="G147" s="239">
        <v>50</v>
      </c>
      <c r="H147" s="239">
        <v>50</v>
      </c>
      <c r="I147" s="239">
        <v>0</v>
      </c>
      <c r="J147" s="228">
        <f t="shared" si="6"/>
        <v>0</v>
      </c>
      <c r="K147" s="228">
        <v>0</v>
      </c>
      <c r="L147" s="239">
        <v>50</v>
      </c>
      <c r="M147" s="239">
        <v>0</v>
      </c>
      <c r="N147" s="239">
        <v>50</v>
      </c>
      <c r="O147" s="239">
        <v>0</v>
      </c>
      <c r="P147" s="239">
        <v>0</v>
      </c>
      <c r="Q147" s="31"/>
    </row>
    <row r="148" spans="1:17" ht="15" hidden="1">
      <c r="A148" s="323"/>
      <c r="B148" s="32">
        <v>6171</v>
      </c>
      <c r="C148" s="32">
        <v>3113</v>
      </c>
      <c r="D148" s="32" t="s">
        <v>105</v>
      </c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33"/>
    </row>
    <row r="149" spans="1:17" ht="2.25" customHeight="1" thickBot="1">
      <c r="A149" s="327"/>
      <c r="B149" s="44"/>
      <c r="C149" s="44"/>
      <c r="D149" s="44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45"/>
    </row>
    <row r="150" spans="1:17" s="26" customFormat="1" ht="21.75" customHeight="1" thickBot="1" thickTop="1">
      <c r="A150" s="328"/>
      <c r="B150" s="46"/>
      <c r="C150" s="46"/>
      <c r="D150" s="47" t="s">
        <v>106</v>
      </c>
      <c r="E150" s="261">
        <f>SUM(E101:E149)</f>
        <v>16413.8</v>
      </c>
      <c r="F150" s="261">
        <f>SUM(F101:F149)</f>
        <v>17530.3</v>
      </c>
      <c r="G150" s="261">
        <f>SUM(G101:G149)</f>
        <v>8117</v>
      </c>
      <c r="H150" s="261">
        <f>SUM(H101:H149)</f>
        <v>15273.900000000001</v>
      </c>
      <c r="I150" s="261">
        <f>SUM(I101:I147)</f>
        <v>14213.699999999995</v>
      </c>
      <c r="J150" s="231">
        <f>(I150/H150)*100</f>
        <v>93.0587472747628</v>
      </c>
      <c r="K150" s="261">
        <f>SUM(K101:K147)</f>
        <v>16869</v>
      </c>
      <c r="L150" s="261">
        <f>SUM(L101:L147)</f>
        <v>6530</v>
      </c>
      <c r="M150" s="261">
        <f>SUM(M101:M149)</f>
        <v>8900</v>
      </c>
      <c r="N150" s="261">
        <f>SUM(N101:N149)</f>
        <v>6730</v>
      </c>
      <c r="O150" s="261">
        <f>SUM(O101:O149)</f>
        <v>8080</v>
      </c>
      <c r="P150" s="261">
        <f>SUM(P101:P149)</f>
        <v>8080</v>
      </c>
      <c r="Q150" s="48"/>
    </row>
    <row r="151" spans="1:17" ht="15" customHeight="1">
      <c r="A151" s="34"/>
      <c r="B151" s="34"/>
      <c r="C151" s="34"/>
      <c r="D151" s="5"/>
      <c r="E151" s="5"/>
      <c r="F151" s="5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35"/>
    </row>
    <row r="152" spans="1:17" ht="15" customHeight="1">
      <c r="A152" s="34"/>
      <c r="B152" s="34"/>
      <c r="C152" s="34"/>
      <c r="D152" s="5"/>
      <c r="E152" s="5"/>
      <c r="F152" s="5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35"/>
    </row>
    <row r="153" spans="1:17" ht="12.75" customHeight="1" hidden="1">
      <c r="A153" s="34"/>
      <c r="B153" s="34"/>
      <c r="C153" s="34"/>
      <c r="D153" s="5"/>
      <c r="E153" s="5"/>
      <c r="F153" s="5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35"/>
    </row>
    <row r="154" spans="1:17" ht="15" customHeight="1" thickBot="1">
      <c r="A154" s="34"/>
      <c r="B154" s="34"/>
      <c r="C154" s="34"/>
      <c r="D154" s="5"/>
      <c r="E154" s="5"/>
      <c r="F154" s="5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35"/>
    </row>
    <row r="155" spans="1:17" ht="15.75">
      <c r="A155" s="9" t="s">
        <v>2</v>
      </c>
      <c r="B155" s="9" t="s">
        <v>3</v>
      </c>
      <c r="C155" s="9" t="s">
        <v>4</v>
      </c>
      <c r="D155" s="10" t="s">
        <v>5</v>
      </c>
      <c r="E155" s="313" t="s">
        <v>7</v>
      </c>
      <c r="F155" s="10" t="s">
        <v>7</v>
      </c>
      <c r="G155" s="9" t="s">
        <v>499</v>
      </c>
      <c r="H155" s="9" t="s">
        <v>500</v>
      </c>
      <c r="I155" s="11" t="s">
        <v>7</v>
      </c>
      <c r="J155" s="9" t="s">
        <v>8</v>
      </c>
      <c r="K155" s="9" t="s">
        <v>404</v>
      </c>
      <c r="L155" s="101" t="s">
        <v>410</v>
      </c>
      <c r="M155" s="101" t="s">
        <v>6</v>
      </c>
      <c r="N155" s="101" t="s">
        <v>410</v>
      </c>
      <c r="O155" s="101" t="s">
        <v>6</v>
      </c>
      <c r="P155" s="101" t="s">
        <v>6</v>
      </c>
      <c r="Q155" s="101" t="s">
        <v>403</v>
      </c>
    </row>
    <row r="156" spans="1:17" ht="16.5" thickBot="1">
      <c r="A156" s="12"/>
      <c r="B156" s="12"/>
      <c r="C156" s="12"/>
      <c r="D156" s="13"/>
      <c r="E156" s="330">
        <v>2007</v>
      </c>
      <c r="F156" s="331">
        <v>2008</v>
      </c>
      <c r="G156" s="14" t="s">
        <v>405</v>
      </c>
      <c r="H156" s="14" t="s">
        <v>405</v>
      </c>
      <c r="I156" s="14" t="s">
        <v>433</v>
      </c>
      <c r="J156" s="14" t="s">
        <v>11</v>
      </c>
      <c r="K156" s="14" t="s">
        <v>405</v>
      </c>
      <c r="L156" s="105" t="s">
        <v>402</v>
      </c>
      <c r="M156" s="105" t="s">
        <v>402</v>
      </c>
      <c r="N156" s="105" t="s">
        <v>440</v>
      </c>
      <c r="O156" s="105" t="s">
        <v>440</v>
      </c>
      <c r="P156" s="105" t="s">
        <v>441</v>
      </c>
      <c r="Q156" s="105"/>
    </row>
    <row r="157" spans="1:17" ht="16.5" customHeight="1" thickTop="1">
      <c r="A157" s="15">
        <v>50</v>
      </c>
      <c r="B157" s="15"/>
      <c r="C157" s="15"/>
      <c r="D157" s="16" t="s">
        <v>107</v>
      </c>
      <c r="E157" s="16"/>
      <c r="F157" s="16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17"/>
    </row>
    <row r="158" spans="1:17" ht="15" customHeight="1">
      <c r="A158" s="18"/>
      <c r="B158" s="18"/>
      <c r="C158" s="18"/>
      <c r="D158" s="37"/>
      <c r="E158" s="37"/>
      <c r="F158" s="37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19"/>
    </row>
    <row r="159" spans="1:17" ht="15">
      <c r="A159" s="18"/>
      <c r="B159" s="18"/>
      <c r="C159" s="18">
        <v>1361</v>
      </c>
      <c r="D159" s="18" t="s">
        <v>14</v>
      </c>
      <c r="E159" s="228">
        <v>7.7</v>
      </c>
      <c r="F159" s="228">
        <v>9</v>
      </c>
      <c r="G159" s="239">
        <v>8</v>
      </c>
      <c r="H159" s="239">
        <v>8</v>
      </c>
      <c r="I159" s="228">
        <v>6</v>
      </c>
      <c r="J159" s="228">
        <f aca="true" t="shared" si="7" ref="J159:J182">(I159/H159)*100</f>
        <v>75</v>
      </c>
      <c r="K159" s="228">
        <v>8</v>
      </c>
      <c r="L159" s="228">
        <v>6</v>
      </c>
      <c r="M159" s="239">
        <v>8</v>
      </c>
      <c r="N159" s="228">
        <v>6</v>
      </c>
      <c r="O159" s="239">
        <v>8</v>
      </c>
      <c r="P159" s="239">
        <v>8</v>
      </c>
      <c r="Q159" s="31"/>
    </row>
    <row r="160" spans="1:17" ht="15">
      <c r="A160" s="18">
        <v>13002</v>
      </c>
      <c r="B160" s="18"/>
      <c r="C160" s="18">
        <v>4116</v>
      </c>
      <c r="D160" s="18" t="s">
        <v>436</v>
      </c>
      <c r="E160" s="228">
        <v>0</v>
      </c>
      <c r="F160" s="228">
        <v>0</v>
      </c>
      <c r="G160" s="239">
        <v>0</v>
      </c>
      <c r="H160" s="239">
        <v>0</v>
      </c>
      <c r="I160" s="228">
        <v>9.5</v>
      </c>
      <c r="J160" s="228"/>
      <c r="K160" s="228">
        <v>10</v>
      </c>
      <c r="L160" s="228">
        <v>0</v>
      </c>
      <c r="M160" s="239">
        <v>0</v>
      </c>
      <c r="N160" s="228">
        <v>0</v>
      </c>
      <c r="O160" s="239">
        <v>0</v>
      </c>
      <c r="P160" s="239">
        <v>0</v>
      </c>
      <c r="Q160" s="31"/>
    </row>
    <row r="161" spans="1:17" ht="15">
      <c r="A161" s="18">
        <v>13235</v>
      </c>
      <c r="B161" s="18"/>
      <c r="C161" s="18">
        <v>4116</v>
      </c>
      <c r="D161" s="18" t="s">
        <v>108</v>
      </c>
      <c r="E161" s="228">
        <v>83281</v>
      </c>
      <c r="F161" s="228">
        <v>95154</v>
      </c>
      <c r="G161" s="239">
        <v>77293</v>
      </c>
      <c r="H161" s="239">
        <v>91870</v>
      </c>
      <c r="I161" s="239">
        <v>73863</v>
      </c>
      <c r="J161" s="228">
        <f t="shared" si="7"/>
        <v>80.39947752258627</v>
      </c>
      <c r="K161" s="228">
        <v>100000</v>
      </c>
      <c r="L161" s="239">
        <v>77293</v>
      </c>
      <c r="M161" s="239">
        <v>105000</v>
      </c>
      <c r="N161" s="239">
        <v>77293</v>
      </c>
      <c r="O161" s="239">
        <v>105000</v>
      </c>
      <c r="P161" s="239">
        <v>105000</v>
      </c>
      <c r="Q161" s="31" t="s">
        <v>414</v>
      </c>
    </row>
    <row r="162" spans="1:17" ht="15">
      <c r="A162" s="18">
        <v>13306</v>
      </c>
      <c r="B162" s="18"/>
      <c r="C162" s="18">
        <v>4116</v>
      </c>
      <c r="D162" s="18" t="s">
        <v>109</v>
      </c>
      <c r="E162" s="228">
        <v>39999.5</v>
      </c>
      <c r="F162" s="228">
        <v>21800</v>
      </c>
      <c r="G162" s="239">
        <v>25800</v>
      </c>
      <c r="H162" s="239">
        <v>25800</v>
      </c>
      <c r="I162" s="239">
        <v>19400</v>
      </c>
      <c r="J162" s="228">
        <f t="shared" si="7"/>
        <v>75.1937984496124</v>
      </c>
      <c r="K162" s="228">
        <v>25800</v>
      </c>
      <c r="L162" s="239">
        <v>25800</v>
      </c>
      <c r="M162" s="239">
        <v>30100</v>
      </c>
      <c r="N162" s="239">
        <v>25800</v>
      </c>
      <c r="O162" s="239">
        <v>30100</v>
      </c>
      <c r="P162" s="239">
        <v>30100</v>
      </c>
      <c r="Q162" s="31"/>
    </row>
    <row r="163" spans="1:17" ht="15" hidden="1">
      <c r="A163" s="18"/>
      <c r="B163" s="18"/>
      <c r="C163" s="18">
        <v>4116</v>
      </c>
      <c r="D163" s="18" t="s">
        <v>110</v>
      </c>
      <c r="E163" s="228"/>
      <c r="F163" s="228"/>
      <c r="G163" s="228">
        <v>0</v>
      </c>
      <c r="H163" s="228">
        <v>0</v>
      </c>
      <c r="I163" s="228"/>
      <c r="J163" s="228" t="e">
        <f t="shared" si="7"/>
        <v>#DIV/0!</v>
      </c>
      <c r="K163" s="228"/>
      <c r="L163" s="228"/>
      <c r="M163" s="228"/>
      <c r="N163" s="228"/>
      <c r="O163" s="228"/>
      <c r="P163" s="228"/>
      <c r="Q163" s="19"/>
    </row>
    <row r="164" spans="1:17" ht="15" hidden="1">
      <c r="A164" s="18">
        <v>434</v>
      </c>
      <c r="B164" s="18"/>
      <c r="C164" s="18">
        <v>4122</v>
      </c>
      <c r="D164" s="18" t="s">
        <v>111</v>
      </c>
      <c r="E164" s="228"/>
      <c r="F164" s="228"/>
      <c r="G164" s="228">
        <v>0</v>
      </c>
      <c r="H164" s="228">
        <v>0</v>
      </c>
      <c r="I164" s="228"/>
      <c r="J164" s="228" t="e">
        <f t="shared" si="7"/>
        <v>#DIV/0!</v>
      </c>
      <c r="K164" s="228"/>
      <c r="L164" s="228"/>
      <c r="M164" s="228"/>
      <c r="N164" s="228"/>
      <c r="O164" s="228"/>
      <c r="P164" s="228"/>
      <c r="Q164" s="19"/>
    </row>
    <row r="165" spans="1:17" ht="15" customHeight="1">
      <c r="A165" s="18"/>
      <c r="B165" s="18">
        <v>3599</v>
      </c>
      <c r="C165" s="18">
        <v>2324</v>
      </c>
      <c r="D165" s="18" t="s">
        <v>112</v>
      </c>
      <c r="E165" s="228">
        <v>0</v>
      </c>
      <c r="F165" s="228">
        <v>2.5</v>
      </c>
      <c r="G165" s="228">
        <v>0</v>
      </c>
      <c r="H165" s="228">
        <v>0</v>
      </c>
      <c r="I165" s="228">
        <v>1.6</v>
      </c>
      <c r="J165" s="228" t="e">
        <f t="shared" si="7"/>
        <v>#DIV/0!</v>
      </c>
      <c r="K165" s="228"/>
      <c r="L165" s="228"/>
      <c r="M165" s="228"/>
      <c r="N165" s="228"/>
      <c r="O165" s="228"/>
      <c r="P165" s="228"/>
      <c r="Q165" s="19"/>
    </row>
    <row r="166" spans="1:17" ht="15" customHeight="1">
      <c r="A166" s="18"/>
      <c r="B166" s="18">
        <v>4171</v>
      </c>
      <c r="C166" s="18">
        <v>2229</v>
      </c>
      <c r="D166" s="18" t="s">
        <v>113</v>
      </c>
      <c r="E166" s="228">
        <v>0</v>
      </c>
      <c r="F166" s="228">
        <v>0</v>
      </c>
      <c r="G166" s="228">
        <v>0</v>
      </c>
      <c r="H166" s="228">
        <v>0</v>
      </c>
      <c r="I166" s="228">
        <v>6.1</v>
      </c>
      <c r="J166" s="228" t="e">
        <f t="shared" si="7"/>
        <v>#DIV/0!</v>
      </c>
      <c r="K166" s="228"/>
      <c r="L166" s="228"/>
      <c r="M166" s="228"/>
      <c r="N166" s="228"/>
      <c r="O166" s="228"/>
      <c r="P166" s="228"/>
      <c r="Q166" s="19"/>
    </row>
    <row r="167" spans="1:17" ht="15" customHeight="1">
      <c r="A167" s="18"/>
      <c r="B167" s="18">
        <v>4172</v>
      </c>
      <c r="C167" s="18">
        <v>2229</v>
      </c>
      <c r="D167" s="18" t="s">
        <v>114</v>
      </c>
      <c r="E167" s="228">
        <v>0</v>
      </c>
      <c r="F167" s="228">
        <v>0</v>
      </c>
      <c r="G167" s="228">
        <v>0</v>
      </c>
      <c r="H167" s="228">
        <v>0</v>
      </c>
      <c r="I167" s="228">
        <v>0</v>
      </c>
      <c r="J167" s="228" t="e">
        <f t="shared" si="7"/>
        <v>#DIV/0!</v>
      </c>
      <c r="K167" s="228"/>
      <c r="L167" s="228"/>
      <c r="M167" s="228"/>
      <c r="N167" s="228"/>
      <c r="O167" s="228"/>
      <c r="P167" s="228"/>
      <c r="Q167" s="19"/>
    </row>
    <row r="168" spans="1:17" ht="15" customHeight="1">
      <c r="A168" s="18"/>
      <c r="B168" s="18">
        <v>4179</v>
      </c>
      <c r="C168" s="18">
        <v>2229</v>
      </c>
      <c r="D168" s="18" t="s">
        <v>115</v>
      </c>
      <c r="E168" s="228">
        <v>0</v>
      </c>
      <c r="F168" s="228">
        <v>0</v>
      </c>
      <c r="G168" s="228">
        <v>0</v>
      </c>
      <c r="H168" s="228">
        <v>0</v>
      </c>
      <c r="I168" s="228">
        <v>1.8</v>
      </c>
      <c r="J168" s="228" t="e">
        <f t="shared" si="7"/>
        <v>#DIV/0!</v>
      </c>
      <c r="K168" s="228"/>
      <c r="L168" s="228"/>
      <c r="M168" s="228"/>
      <c r="N168" s="228"/>
      <c r="O168" s="228"/>
      <c r="P168" s="228"/>
      <c r="Q168" s="19"/>
    </row>
    <row r="169" spans="1:17" ht="15" customHeight="1" hidden="1">
      <c r="A169" s="18"/>
      <c r="B169" s="18">
        <v>4181</v>
      </c>
      <c r="C169" s="18">
        <v>2229</v>
      </c>
      <c r="D169" s="18" t="s">
        <v>116</v>
      </c>
      <c r="E169" s="228">
        <v>0</v>
      </c>
      <c r="F169" s="228">
        <v>0</v>
      </c>
      <c r="G169" s="228">
        <v>0</v>
      </c>
      <c r="H169" s="228">
        <v>0</v>
      </c>
      <c r="I169" s="228"/>
      <c r="J169" s="228" t="e">
        <f t="shared" si="7"/>
        <v>#DIV/0!</v>
      </c>
      <c r="K169" s="228"/>
      <c r="L169" s="228"/>
      <c r="M169" s="228"/>
      <c r="N169" s="228"/>
      <c r="O169" s="228"/>
      <c r="P169" s="228"/>
      <c r="Q169" s="19"/>
    </row>
    <row r="170" spans="1:17" ht="15" hidden="1">
      <c r="A170" s="18"/>
      <c r="B170" s="18">
        <v>4182</v>
      </c>
      <c r="C170" s="18">
        <v>2229</v>
      </c>
      <c r="D170" s="18" t="s">
        <v>117</v>
      </c>
      <c r="E170" s="228">
        <v>0</v>
      </c>
      <c r="F170" s="228">
        <v>0</v>
      </c>
      <c r="G170" s="228">
        <v>0</v>
      </c>
      <c r="H170" s="228">
        <v>0</v>
      </c>
      <c r="I170" s="228"/>
      <c r="J170" s="228" t="e">
        <f t="shared" si="7"/>
        <v>#DIV/0!</v>
      </c>
      <c r="K170" s="228"/>
      <c r="L170" s="228"/>
      <c r="M170" s="228"/>
      <c r="N170" s="228"/>
      <c r="O170" s="228"/>
      <c r="P170" s="228"/>
      <c r="Q170" s="19"/>
    </row>
    <row r="171" spans="1:17" ht="15" hidden="1">
      <c r="A171" s="18"/>
      <c r="B171" s="18">
        <v>4183</v>
      </c>
      <c r="C171" s="18">
        <v>2229</v>
      </c>
      <c r="D171" s="18" t="s">
        <v>118</v>
      </c>
      <c r="E171" s="228">
        <v>0</v>
      </c>
      <c r="F171" s="228">
        <v>0</v>
      </c>
      <c r="G171" s="228">
        <v>0</v>
      </c>
      <c r="H171" s="228">
        <v>0</v>
      </c>
      <c r="I171" s="228"/>
      <c r="J171" s="228" t="e">
        <f t="shared" si="7"/>
        <v>#DIV/0!</v>
      </c>
      <c r="K171" s="228"/>
      <c r="L171" s="228"/>
      <c r="M171" s="228"/>
      <c r="N171" s="228"/>
      <c r="O171" s="228"/>
      <c r="P171" s="228"/>
      <c r="Q171" s="19"/>
    </row>
    <row r="172" spans="1:17" ht="15">
      <c r="A172" s="18"/>
      <c r="B172" s="18">
        <v>4184</v>
      </c>
      <c r="C172" s="18">
        <v>2229</v>
      </c>
      <c r="D172" s="18" t="s">
        <v>119</v>
      </c>
      <c r="E172" s="228">
        <v>0</v>
      </c>
      <c r="F172" s="228">
        <v>0</v>
      </c>
      <c r="G172" s="228">
        <v>0</v>
      </c>
      <c r="H172" s="228">
        <v>0</v>
      </c>
      <c r="I172" s="228">
        <v>0</v>
      </c>
      <c r="J172" s="228" t="e">
        <f t="shared" si="7"/>
        <v>#DIV/0!</v>
      </c>
      <c r="K172" s="228"/>
      <c r="L172" s="228"/>
      <c r="M172" s="228"/>
      <c r="N172" s="228"/>
      <c r="O172" s="228"/>
      <c r="P172" s="228"/>
      <c r="Q172" s="19"/>
    </row>
    <row r="173" spans="1:17" ht="15">
      <c r="A173" s="18"/>
      <c r="B173" s="18">
        <v>4185</v>
      </c>
      <c r="C173" s="18">
        <v>2229</v>
      </c>
      <c r="D173" s="18" t="s">
        <v>120</v>
      </c>
      <c r="E173" s="228">
        <v>0</v>
      </c>
      <c r="F173" s="228">
        <v>0</v>
      </c>
      <c r="G173" s="228">
        <v>0</v>
      </c>
      <c r="H173" s="228">
        <v>0</v>
      </c>
      <c r="I173" s="228">
        <v>0</v>
      </c>
      <c r="J173" s="228" t="e">
        <f t="shared" si="7"/>
        <v>#DIV/0!</v>
      </c>
      <c r="K173" s="228"/>
      <c r="L173" s="228"/>
      <c r="M173" s="228"/>
      <c r="N173" s="228"/>
      <c r="O173" s="228"/>
      <c r="P173" s="228"/>
      <c r="Q173" s="19"/>
    </row>
    <row r="174" spans="1:17" ht="15" hidden="1">
      <c r="A174" s="18"/>
      <c r="B174" s="18">
        <v>4189</v>
      </c>
      <c r="C174" s="18">
        <v>2229</v>
      </c>
      <c r="D174" s="18" t="s">
        <v>121</v>
      </c>
      <c r="E174" s="228">
        <v>0</v>
      </c>
      <c r="F174" s="228">
        <v>0</v>
      </c>
      <c r="G174" s="228">
        <v>0</v>
      </c>
      <c r="H174" s="228">
        <v>0</v>
      </c>
      <c r="I174" s="228"/>
      <c r="J174" s="228" t="e">
        <f t="shared" si="7"/>
        <v>#DIV/0!</v>
      </c>
      <c r="K174" s="228"/>
      <c r="L174" s="228"/>
      <c r="M174" s="228"/>
      <c r="N174" s="228"/>
      <c r="O174" s="228"/>
      <c r="P174" s="228"/>
      <c r="Q174" s="19"/>
    </row>
    <row r="175" spans="1:17" ht="15">
      <c r="A175" s="18"/>
      <c r="B175" s="18">
        <v>4195</v>
      </c>
      <c r="C175" s="18">
        <v>2229</v>
      </c>
      <c r="D175" s="18" t="s">
        <v>122</v>
      </c>
      <c r="E175" s="228">
        <v>0</v>
      </c>
      <c r="F175" s="228">
        <v>0</v>
      </c>
      <c r="G175" s="228">
        <v>0</v>
      </c>
      <c r="H175" s="228">
        <v>0</v>
      </c>
      <c r="I175" s="228">
        <v>0</v>
      </c>
      <c r="J175" s="228" t="e">
        <f t="shared" si="7"/>
        <v>#DIV/0!</v>
      </c>
      <c r="K175" s="228"/>
      <c r="L175" s="228"/>
      <c r="M175" s="228"/>
      <c r="N175" s="228"/>
      <c r="O175" s="228"/>
      <c r="P175" s="228"/>
      <c r="Q175" s="19"/>
    </row>
    <row r="176" spans="1:17" ht="15" hidden="1">
      <c r="A176" s="18"/>
      <c r="B176" s="18">
        <v>4329</v>
      </c>
      <c r="C176" s="18">
        <v>2229</v>
      </c>
      <c r="D176" s="18" t="s">
        <v>123</v>
      </c>
      <c r="E176" s="228">
        <v>0</v>
      </c>
      <c r="F176" s="228">
        <v>0</v>
      </c>
      <c r="G176" s="228">
        <v>0</v>
      </c>
      <c r="H176" s="228">
        <v>0</v>
      </c>
      <c r="I176" s="228"/>
      <c r="J176" s="228" t="e">
        <f t="shared" si="7"/>
        <v>#DIV/0!</v>
      </c>
      <c r="K176" s="228"/>
      <c r="L176" s="228"/>
      <c r="M176" s="228"/>
      <c r="N176" s="228"/>
      <c r="O176" s="228"/>
      <c r="P176" s="228"/>
      <c r="Q176" s="19"/>
    </row>
    <row r="177" spans="1:17" ht="15">
      <c r="A177" s="18"/>
      <c r="B177" s="18">
        <v>4329</v>
      </c>
      <c r="C177" s="18">
        <v>2324</v>
      </c>
      <c r="D177" s="18" t="s">
        <v>124</v>
      </c>
      <c r="E177" s="228">
        <v>0</v>
      </c>
      <c r="F177" s="228">
        <v>0</v>
      </c>
      <c r="G177" s="228">
        <v>0</v>
      </c>
      <c r="H177" s="228">
        <v>0</v>
      </c>
      <c r="I177" s="228">
        <v>0</v>
      </c>
      <c r="J177" s="228" t="e">
        <f t="shared" si="7"/>
        <v>#DIV/0!</v>
      </c>
      <c r="K177" s="228"/>
      <c r="L177" s="228"/>
      <c r="M177" s="228"/>
      <c r="N177" s="228"/>
      <c r="O177" s="228"/>
      <c r="P177" s="228"/>
      <c r="Q177" s="19"/>
    </row>
    <row r="178" spans="1:17" ht="15">
      <c r="A178" s="18"/>
      <c r="B178" s="18">
        <v>4342</v>
      </c>
      <c r="C178" s="18">
        <v>2324</v>
      </c>
      <c r="D178" s="18" t="s">
        <v>125</v>
      </c>
      <c r="E178" s="228">
        <v>0</v>
      </c>
      <c r="F178" s="228">
        <v>26.2</v>
      </c>
      <c r="G178" s="228">
        <v>0</v>
      </c>
      <c r="H178" s="228">
        <v>0</v>
      </c>
      <c r="I178" s="228">
        <v>57.7</v>
      </c>
      <c r="J178" s="228" t="e">
        <f t="shared" si="7"/>
        <v>#DIV/0!</v>
      </c>
      <c r="K178" s="228"/>
      <c r="L178" s="228"/>
      <c r="M178" s="228"/>
      <c r="N178" s="228"/>
      <c r="O178" s="228"/>
      <c r="P178" s="228"/>
      <c r="Q178" s="19"/>
    </row>
    <row r="179" spans="1:17" ht="15" hidden="1">
      <c r="A179" s="18"/>
      <c r="B179" s="18">
        <v>4349</v>
      </c>
      <c r="C179" s="18">
        <v>2229</v>
      </c>
      <c r="D179" s="18" t="s">
        <v>126</v>
      </c>
      <c r="E179" s="228">
        <v>0</v>
      </c>
      <c r="F179" s="228"/>
      <c r="G179" s="228">
        <v>0</v>
      </c>
      <c r="H179" s="228">
        <v>0</v>
      </c>
      <c r="I179" s="228"/>
      <c r="J179" s="228" t="e">
        <f t="shared" si="7"/>
        <v>#DIV/0!</v>
      </c>
      <c r="K179" s="228"/>
      <c r="L179" s="228"/>
      <c r="M179" s="228"/>
      <c r="N179" s="228"/>
      <c r="O179" s="228"/>
      <c r="P179" s="228"/>
      <c r="Q179" s="19"/>
    </row>
    <row r="180" spans="1:17" ht="15" hidden="1">
      <c r="A180" s="18"/>
      <c r="B180" s="18">
        <v>4399</v>
      </c>
      <c r="C180" s="18">
        <v>2324</v>
      </c>
      <c r="D180" s="18" t="s">
        <v>127</v>
      </c>
      <c r="E180" s="228">
        <v>0</v>
      </c>
      <c r="F180" s="228"/>
      <c r="G180" s="228">
        <v>0</v>
      </c>
      <c r="H180" s="228">
        <v>0</v>
      </c>
      <c r="I180" s="228"/>
      <c r="J180" s="228" t="e">
        <f t="shared" si="7"/>
        <v>#DIV/0!</v>
      </c>
      <c r="K180" s="228"/>
      <c r="L180" s="228"/>
      <c r="M180" s="228"/>
      <c r="N180" s="228"/>
      <c r="O180" s="228"/>
      <c r="P180" s="228"/>
      <c r="Q180" s="19"/>
    </row>
    <row r="181" spans="1:17" ht="15" hidden="1">
      <c r="A181" s="18"/>
      <c r="B181" s="18">
        <v>6171</v>
      </c>
      <c r="C181" s="18">
        <v>2111</v>
      </c>
      <c r="D181" s="18" t="s">
        <v>128</v>
      </c>
      <c r="E181" s="228">
        <v>0</v>
      </c>
      <c r="F181" s="228"/>
      <c r="G181" s="228"/>
      <c r="H181" s="228"/>
      <c r="I181" s="228"/>
      <c r="J181" s="228" t="e">
        <f t="shared" si="7"/>
        <v>#DIV/0!</v>
      </c>
      <c r="K181" s="228"/>
      <c r="L181" s="228"/>
      <c r="M181" s="228"/>
      <c r="N181" s="228"/>
      <c r="O181" s="228"/>
      <c r="P181" s="228"/>
      <c r="Q181" s="19"/>
    </row>
    <row r="182" spans="1:17" ht="15">
      <c r="A182" s="18"/>
      <c r="B182" s="18">
        <v>6171</v>
      </c>
      <c r="C182" s="18">
        <v>2210</v>
      </c>
      <c r="D182" s="18" t="s">
        <v>129</v>
      </c>
      <c r="E182" s="228">
        <v>0</v>
      </c>
      <c r="F182" s="228">
        <v>2.5</v>
      </c>
      <c r="G182" s="228">
        <v>0</v>
      </c>
      <c r="H182" s="228">
        <v>0</v>
      </c>
      <c r="I182" s="228">
        <v>1.3</v>
      </c>
      <c r="J182" s="228" t="e">
        <f t="shared" si="7"/>
        <v>#DIV/0!</v>
      </c>
      <c r="K182" s="228"/>
      <c r="L182" s="228"/>
      <c r="M182" s="228"/>
      <c r="N182" s="228"/>
      <c r="O182" s="228"/>
      <c r="P182" s="228"/>
      <c r="Q182" s="19"/>
    </row>
    <row r="183" spans="1:17" ht="15" hidden="1">
      <c r="A183" s="20"/>
      <c r="B183" s="18">
        <v>6171</v>
      </c>
      <c r="C183" s="18">
        <v>2324</v>
      </c>
      <c r="D183" s="18" t="s">
        <v>36</v>
      </c>
      <c r="E183" s="228"/>
      <c r="F183" s="228"/>
      <c r="G183" s="228"/>
      <c r="H183" s="228"/>
      <c r="I183" s="228"/>
      <c r="J183" s="228" t="e">
        <f>(#REF!/#REF!)*100</f>
        <v>#REF!</v>
      </c>
      <c r="K183" s="228"/>
      <c r="L183" s="228"/>
      <c r="M183" s="228"/>
      <c r="N183" s="228"/>
      <c r="O183" s="228"/>
      <c r="P183" s="228"/>
      <c r="Q183" s="19"/>
    </row>
    <row r="184" spans="1:17" ht="15" hidden="1">
      <c r="A184" s="20"/>
      <c r="B184" s="20">
        <v>6171</v>
      </c>
      <c r="C184" s="20">
        <v>2329</v>
      </c>
      <c r="D184" s="20" t="s">
        <v>130</v>
      </c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1"/>
    </row>
    <row r="185" spans="1:17" ht="15" hidden="1">
      <c r="A185" s="18"/>
      <c r="B185" s="18">
        <v>6409</v>
      </c>
      <c r="C185" s="18">
        <v>2229</v>
      </c>
      <c r="D185" s="18" t="s">
        <v>131</v>
      </c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19"/>
    </row>
    <row r="186" spans="1:17" ht="15" customHeight="1" thickBot="1">
      <c r="A186" s="44"/>
      <c r="B186" s="44"/>
      <c r="C186" s="44"/>
      <c r="D186" s="44" t="s">
        <v>494</v>
      </c>
      <c r="E186" s="260">
        <v>3199.5</v>
      </c>
      <c r="F186" s="260">
        <f>52.9+70+4.4+49.9+5.9+2</f>
        <v>185.10000000000002</v>
      </c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45"/>
    </row>
    <row r="187" spans="1:17" s="26" customFormat="1" ht="21.75" customHeight="1" thickBot="1" thickTop="1">
      <c r="A187" s="46"/>
      <c r="B187" s="46"/>
      <c r="C187" s="46"/>
      <c r="D187" s="47" t="s">
        <v>132</v>
      </c>
      <c r="E187" s="261">
        <f>SUM(E158:E186)</f>
        <v>126487.7</v>
      </c>
      <c r="F187" s="261">
        <f>SUM(F158:F186)</f>
        <v>117179.3</v>
      </c>
      <c r="G187" s="261">
        <f>SUM(G158:G186)</f>
        <v>103101</v>
      </c>
      <c r="H187" s="261">
        <f>SUM(H158:H186)</f>
        <v>117678</v>
      </c>
      <c r="I187" s="261">
        <f>SUM(I158:I186)</f>
        <v>93347.00000000001</v>
      </c>
      <c r="J187" s="231">
        <f>(I187/H187)*100</f>
        <v>79.32408776491783</v>
      </c>
      <c r="K187" s="261">
        <f aca="true" t="shared" si="8" ref="K187:P187">SUM(K158:K186)</f>
        <v>125818</v>
      </c>
      <c r="L187" s="261">
        <f t="shared" si="8"/>
        <v>103099</v>
      </c>
      <c r="M187" s="261">
        <f t="shared" si="8"/>
        <v>135108</v>
      </c>
      <c r="N187" s="261">
        <f t="shared" si="8"/>
        <v>103099</v>
      </c>
      <c r="O187" s="261">
        <f t="shared" si="8"/>
        <v>135108</v>
      </c>
      <c r="P187" s="261">
        <f t="shared" si="8"/>
        <v>135108</v>
      </c>
      <c r="Q187" s="48"/>
    </row>
    <row r="188" spans="1:17" ht="15" customHeight="1">
      <c r="A188" s="34"/>
      <c r="B188" s="26"/>
      <c r="C188" s="34"/>
      <c r="D188" s="49"/>
      <c r="E188" s="49"/>
      <c r="F188" s="49"/>
      <c r="G188" s="79"/>
      <c r="H188" s="79"/>
      <c r="I188" s="79"/>
      <c r="J188" s="79"/>
      <c r="K188" s="79"/>
      <c r="L188" s="79"/>
      <c r="M188" s="79"/>
      <c r="N188" s="79"/>
      <c r="O188" s="79"/>
      <c r="P188" s="312" t="s">
        <v>483</v>
      </c>
      <c r="Q188" s="35"/>
    </row>
    <row r="189" spans="1:17" ht="14.25" customHeight="1">
      <c r="A189" s="26"/>
      <c r="B189" s="26"/>
      <c r="C189" s="26"/>
      <c r="D189" s="26"/>
      <c r="E189" s="26"/>
      <c r="F189" s="26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6"/>
    </row>
    <row r="190" spans="1:17" ht="14.25" customHeight="1" thickBot="1">
      <c r="A190" s="26"/>
      <c r="B190" s="26"/>
      <c r="C190" s="26"/>
      <c r="D190" s="26"/>
      <c r="E190" s="26"/>
      <c r="F190" s="26"/>
      <c r="G190" s="232"/>
      <c r="H190" s="232"/>
      <c r="I190" s="250"/>
      <c r="J190" s="232"/>
      <c r="K190" s="232"/>
      <c r="L190" s="250"/>
      <c r="M190" s="232"/>
      <c r="N190" s="232"/>
      <c r="O190" s="232"/>
      <c r="P190" s="232"/>
      <c r="Q190" s="26"/>
    </row>
    <row r="191" spans="1:17" ht="13.5" customHeight="1" hidden="1">
      <c r="A191" s="26"/>
      <c r="B191" s="26"/>
      <c r="C191" s="26"/>
      <c r="D191" s="26"/>
      <c r="E191" s="26"/>
      <c r="F191" s="26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6"/>
    </row>
    <row r="192" spans="1:17" ht="13.5" customHeight="1" hidden="1">
      <c r="A192" s="26"/>
      <c r="B192" s="26"/>
      <c r="C192" s="26"/>
      <c r="D192" s="26"/>
      <c r="E192" s="26"/>
      <c r="F192" s="26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6"/>
    </row>
    <row r="193" spans="1:17" ht="13.5" customHeight="1" hidden="1" thickBot="1">
      <c r="A193" s="26"/>
      <c r="B193" s="26"/>
      <c r="C193" s="26"/>
      <c r="D193" s="26"/>
      <c r="E193" s="26"/>
      <c r="F193" s="26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6"/>
    </row>
    <row r="194" spans="1:17" ht="15.75">
      <c r="A194" s="9" t="s">
        <v>2</v>
      </c>
      <c r="B194" s="9" t="s">
        <v>3</v>
      </c>
      <c r="C194" s="9" t="s">
        <v>4</v>
      </c>
      <c r="D194" s="10" t="s">
        <v>5</v>
      </c>
      <c r="E194" s="9" t="s">
        <v>7</v>
      </c>
      <c r="F194" s="10" t="s">
        <v>7</v>
      </c>
      <c r="G194" s="9" t="s">
        <v>499</v>
      </c>
      <c r="H194" s="9" t="s">
        <v>500</v>
      </c>
      <c r="I194" s="11" t="s">
        <v>7</v>
      </c>
      <c r="J194" s="9" t="s">
        <v>8</v>
      </c>
      <c r="K194" s="9" t="s">
        <v>404</v>
      </c>
      <c r="L194" s="101" t="s">
        <v>410</v>
      </c>
      <c r="M194" s="101" t="s">
        <v>6</v>
      </c>
      <c r="N194" s="101" t="s">
        <v>410</v>
      </c>
      <c r="O194" s="101" t="s">
        <v>6</v>
      </c>
      <c r="P194" s="101" t="s">
        <v>6</v>
      </c>
      <c r="Q194" s="101" t="s">
        <v>403</v>
      </c>
    </row>
    <row r="195" spans="1:17" ht="16.5" thickBot="1">
      <c r="A195" s="12"/>
      <c r="B195" s="12"/>
      <c r="C195" s="12"/>
      <c r="D195" s="13"/>
      <c r="E195" s="12">
        <v>2007</v>
      </c>
      <c r="F195" s="331">
        <v>2008</v>
      </c>
      <c r="G195" s="14" t="s">
        <v>405</v>
      </c>
      <c r="H195" s="14" t="s">
        <v>405</v>
      </c>
      <c r="I195" s="14" t="s">
        <v>433</v>
      </c>
      <c r="J195" s="14" t="s">
        <v>11</v>
      </c>
      <c r="K195" s="14" t="s">
        <v>405</v>
      </c>
      <c r="L195" s="105" t="s">
        <v>402</v>
      </c>
      <c r="M195" s="105" t="s">
        <v>402</v>
      </c>
      <c r="N195" s="105" t="s">
        <v>440</v>
      </c>
      <c r="O195" s="105" t="s">
        <v>440</v>
      </c>
      <c r="P195" s="105" t="s">
        <v>441</v>
      </c>
      <c r="Q195" s="105"/>
    </row>
    <row r="196" spans="1:17" ht="15.75" customHeight="1" thickTop="1">
      <c r="A196" s="15">
        <v>60</v>
      </c>
      <c r="B196" s="15"/>
      <c r="C196" s="15"/>
      <c r="D196" s="16" t="s">
        <v>133</v>
      </c>
      <c r="E196" s="16"/>
      <c r="F196" s="16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17"/>
    </row>
    <row r="197" spans="1:17" ht="14.25" customHeight="1">
      <c r="A197" s="37"/>
      <c r="B197" s="37"/>
      <c r="C197" s="37"/>
      <c r="D197" s="37"/>
      <c r="E197" s="37"/>
      <c r="F197" s="37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19"/>
    </row>
    <row r="198" spans="1:17" ht="15">
      <c r="A198" s="18"/>
      <c r="B198" s="18"/>
      <c r="C198" s="18">
        <v>1332</v>
      </c>
      <c r="D198" s="18" t="s">
        <v>134</v>
      </c>
      <c r="E198" s="228">
        <v>9.6</v>
      </c>
      <c r="F198" s="228">
        <v>9.4</v>
      </c>
      <c r="G198" s="228">
        <v>9</v>
      </c>
      <c r="H198" s="228">
        <v>9</v>
      </c>
      <c r="I198" s="228">
        <v>0</v>
      </c>
      <c r="J198" s="228">
        <f aca="true" t="shared" si="9" ref="J198:J210">(I198/H198)*100</f>
        <v>0</v>
      </c>
      <c r="K198" s="228">
        <v>4</v>
      </c>
      <c r="L198" s="228">
        <v>9</v>
      </c>
      <c r="M198" s="228">
        <v>4</v>
      </c>
      <c r="N198" s="228">
        <v>9</v>
      </c>
      <c r="O198" s="228">
        <v>4</v>
      </c>
      <c r="P198" s="228">
        <v>4</v>
      </c>
      <c r="Q198" s="19"/>
    </row>
    <row r="199" spans="1:17" ht="15">
      <c r="A199" s="18"/>
      <c r="B199" s="18"/>
      <c r="C199" s="18">
        <v>1333</v>
      </c>
      <c r="D199" s="18" t="s">
        <v>135</v>
      </c>
      <c r="E199" s="228">
        <v>817.9</v>
      </c>
      <c r="F199" s="228">
        <v>1157.2</v>
      </c>
      <c r="G199" s="228">
        <v>600</v>
      </c>
      <c r="H199" s="228">
        <v>600</v>
      </c>
      <c r="I199" s="228">
        <v>592.8</v>
      </c>
      <c r="J199" s="228">
        <f t="shared" si="9"/>
        <v>98.79999999999998</v>
      </c>
      <c r="K199" s="228">
        <v>726</v>
      </c>
      <c r="L199" s="228">
        <v>200</v>
      </c>
      <c r="M199" s="228">
        <v>200</v>
      </c>
      <c r="N199" s="228">
        <v>200</v>
      </c>
      <c r="O199" s="228">
        <v>200</v>
      </c>
      <c r="P199" s="228">
        <v>200</v>
      </c>
      <c r="Q199" s="19"/>
    </row>
    <row r="200" spans="1:17" ht="15">
      <c r="A200" s="18"/>
      <c r="B200" s="18"/>
      <c r="C200" s="18">
        <v>1334</v>
      </c>
      <c r="D200" s="18" t="s">
        <v>136</v>
      </c>
      <c r="E200" s="228">
        <v>548.5</v>
      </c>
      <c r="F200" s="228">
        <v>742.5</v>
      </c>
      <c r="G200" s="228">
        <v>60</v>
      </c>
      <c r="H200" s="228">
        <v>60</v>
      </c>
      <c r="I200" s="228">
        <v>37.7</v>
      </c>
      <c r="J200" s="228">
        <f t="shared" si="9"/>
        <v>62.83333333333334</v>
      </c>
      <c r="K200" s="228">
        <v>50</v>
      </c>
      <c r="L200" s="228">
        <v>60</v>
      </c>
      <c r="M200" s="228">
        <v>60</v>
      </c>
      <c r="N200" s="228">
        <v>60</v>
      </c>
      <c r="O200" s="228">
        <v>30</v>
      </c>
      <c r="P200" s="228">
        <v>30</v>
      </c>
      <c r="Q200" s="19"/>
    </row>
    <row r="201" spans="1:17" ht="15">
      <c r="A201" s="18"/>
      <c r="B201" s="18"/>
      <c r="C201" s="18">
        <v>1335</v>
      </c>
      <c r="D201" s="18" t="s">
        <v>137</v>
      </c>
      <c r="E201" s="228">
        <v>9.3</v>
      </c>
      <c r="F201" s="228">
        <v>7.9</v>
      </c>
      <c r="G201" s="228">
        <v>6</v>
      </c>
      <c r="H201" s="228">
        <v>6</v>
      </c>
      <c r="I201" s="228">
        <v>7.1</v>
      </c>
      <c r="J201" s="228">
        <f t="shared" si="9"/>
        <v>118.33333333333333</v>
      </c>
      <c r="K201" s="228">
        <v>7.1</v>
      </c>
      <c r="L201" s="228">
        <v>6</v>
      </c>
      <c r="M201" s="228">
        <v>6</v>
      </c>
      <c r="N201" s="228">
        <v>6</v>
      </c>
      <c r="O201" s="228">
        <v>6</v>
      </c>
      <c r="P201" s="228">
        <v>6</v>
      </c>
      <c r="Q201" s="19"/>
    </row>
    <row r="202" spans="1:17" ht="15">
      <c r="A202" s="18"/>
      <c r="B202" s="18"/>
      <c r="C202" s="18">
        <v>1361</v>
      </c>
      <c r="D202" s="18" t="s">
        <v>14</v>
      </c>
      <c r="E202" s="228">
        <v>687.3</v>
      </c>
      <c r="F202" s="228">
        <v>426.9</v>
      </c>
      <c r="G202" s="228">
        <v>250</v>
      </c>
      <c r="H202" s="228">
        <v>250</v>
      </c>
      <c r="I202" s="228">
        <v>338.8</v>
      </c>
      <c r="J202" s="228">
        <f t="shared" si="9"/>
        <v>135.51999999999998</v>
      </c>
      <c r="K202" s="228">
        <v>350</v>
      </c>
      <c r="L202" s="228">
        <v>250</v>
      </c>
      <c r="M202" s="228">
        <v>250</v>
      </c>
      <c r="N202" s="228">
        <v>250</v>
      </c>
      <c r="O202" s="228">
        <v>250</v>
      </c>
      <c r="P202" s="228">
        <v>250</v>
      </c>
      <c r="Q202" s="19"/>
    </row>
    <row r="203" spans="1:17" ht="15" hidden="1">
      <c r="A203" s="18">
        <v>29004</v>
      </c>
      <c r="B203" s="18"/>
      <c r="C203" s="18">
        <v>4116</v>
      </c>
      <c r="D203" s="18" t="s">
        <v>138</v>
      </c>
      <c r="E203" s="229"/>
      <c r="F203" s="229"/>
      <c r="G203" s="229">
        <v>0</v>
      </c>
      <c r="H203" s="229">
        <v>0</v>
      </c>
      <c r="I203" s="229"/>
      <c r="J203" s="228" t="e">
        <f t="shared" si="9"/>
        <v>#DIV/0!</v>
      </c>
      <c r="K203" s="229"/>
      <c r="L203" s="229"/>
      <c r="M203" s="229"/>
      <c r="N203" s="229"/>
      <c r="O203" s="229"/>
      <c r="P203" s="229"/>
      <c r="Q203" s="21"/>
    </row>
    <row r="204" spans="1:17" ht="15">
      <c r="A204" s="18">
        <v>29004</v>
      </c>
      <c r="B204" s="18"/>
      <c r="C204" s="18">
        <v>4116</v>
      </c>
      <c r="D204" s="18" t="s">
        <v>470</v>
      </c>
      <c r="E204" s="229">
        <v>248.8</v>
      </c>
      <c r="F204" s="229">
        <v>140</v>
      </c>
      <c r="G204" s="229">
        <v>0</v>
      </c>
      <c r="H204" s="229">
        <v>305.3</v>
      </c>
      <c r="I204" s="229">
        <v>0</v>
      </c>
      <c r="J204" s="228">
        <f t="shared" si="9"/>
        <v>0</v>
      </c>
      <c r="K204" s="229">
        <v>305</v>
      </c>
      <c r="L204" s="229">
        <v>0</v>
      </c>
      <c r="M204" s="229">
        <v>0</v>
      </c>
      <c r="N204" s="229">
        <v>0</v>
      </c>
      <c r="O204" s="229">
        <v>0</v>
      </c>
      <c r="P204" s="229">
        <v>0</v>
      </c>
      <c r="Q204" s="21"/>
    </row>
    <row r="205" spans="1:17" ht="15">
      <c r="A205" s="18">
        <v>29008</v>
      </c>
      <c r="B205" s="18"/>
      <c r="C205" s="18">
        <v>4116</v>
      </c>
      <c r="D205" s="18" t="s">
        <v>412</v>
      </c>
      <c r="E205" s="228">
        <v>50.2</v>
      </c>
      <c r="F205" s="228">
        <v>52</v>
      </c>
      <c r="G205" s="228">
        <v>0</v>
      </c>
      <c r="H205" s="228">
        <v>41</v>
      </c>
      <c r="I205" s="228">
        <v>26.9</v>
      </c>
      <c r="J205" s="228">
        <f t="shared" si="9"/>
        <v>65.60975609756096</v>
      </c>
      <c r="K205" s="228">
        <v>41</v>
      </c>
      <c r="L205" s="228">
        <v>0</v>
      </c>
      <c r="M205" s="228">
        <v>0</v>
      </c>
      <c r="N205" s="228">
        <v>0</v>
      </c>
      <c r="O205" s="228">
        <v>0</v>
      </c>
      <c r="P205" s="228">
        <v>0</v>
      </c>
      <c r="Q205" s="19"/>
    </row>
    <row r="206" spans="1:17" ht="15" hidden="1">
      <c r="A206" s="18"/>
      <c r="B206" s="18"/>
      <c r="C206" s="18">
        <v>4222</v>
      </c>
      <c r="D206" s="18" t="s">
        <v>139</v>
      </c>
      <c r="E206" s="228"/>
      <c r="F206" s="228"/>
      <c r="G206" s="228"/>
      <c r="H206" s="228"/>
      <c r="I206" s="228"/>
      <c r="J206" s="228" t="e">
        <f t="shared" si="9"/>
        <v>#DIV/0!</v>
      </c>
      <c r="K206" s="228"/>
      <c r="L206" s="228"/>
      <c r="M206" s="228"/>
      <c r="N206" s="228"/>
      <c r="O206" s="228"/>
      <c r="P206" s="228"/>
      <c r="Q206" s="19"/>
    </row>
    <row r="207" spans="1:17" ht="15">
      <c r="A207" s="20"/>
      <c r="B207" s="20">
        <v>2119</v>
      </c>
      <c r="C207" s="20">
        <v>2343</v>
      </c>
      <c r="D207" s="20" t="s">
        <v>140</v>
      </c>
      <c r="E207" s="229">
        <v>3925.3</v>
      </c>
      <c r="F207" s="229">
        <v>11159.8</v>
      </c>
      <c r="G207" s="229">
        <v>11000</v>
      </c>
      <c r="H207" s="229">
        <v>11000</v>
      </c>
      <c r="I207" s="229">
        <v>7669.7</v>
      </c>
      <c r="J207" s="228">
        <f t="shared" si="9"/>
        <v>69.72454545454545</v>
      </c>
      <c r="K207" s="229">
        <v>8500</v>
      </c>
      <c r="L207" s="229">
        <v>10000</v>
      </c>
      <c r="M207" s="229">
        <v>12375</v>
      </c>
      <c r="N207" s="229">
        <v>10000</v>
      </c>
      <c r="O207" s="229">
        <v>12000</v>
      </c>
      <c r="P207" s="229">
        <v>13000</v>
      </c>
      <c r="Q207" s="21"/>
    </row>
    <row r="208" spans="1:17" ht="15" hidden="1">
      <c r="A208" s="20"/>
      <c r="B208" s="20">
        <v>3719</v>
      </c>
      <c r="C208" s="20">
        <v>2210</v>
      </c>
      <c r="D208" s="20" t="s">
        <v>141</v>
      </c>
      <c r="E208" s="229"/>
      <c r="F208" s="229"/>
      <c r="G208" s="229"/>
      <c r="H208" s="229"/>
      <c r="I208" s="229"/>
      <c r="J208" s="228" t="e">
        <f t="shared" si="9"/>
        <v>#DIV/0!</v>
      </c>
      <c r="K208" s="229"/>
      <c r="L208" s="229"/>
      <c r="M208" s="229"/>
      <c r="N208" s="229"/>
      <c r="O208" s="229"/>
      <c r="P208" s="229"/>
      <c r="Q208" s="21"/>
    </row>
    <row r="209" spans="1:17" ht="15">
      <c r="A209" s="18"/>
      <c r="B209" s="18">
        <v>6171</v>
      </c>
      <c r="C209" s="18">
        <v>2210</v>
      </c>
      <c r="D209" s="18" t="s">
        <v>97</v>
      </c>
      <c r="E209" s="228">
        <v>97.4</v>
      </c>
      <c r="F209" s="228">
        <v>119.5</v>
      </c>
      <c r="G209" s="228">
        <v>100</v>
      </c>
      <c r="H209" s="228">
        <v>100</v>
      </c>
      <c r="I209" s="228">
        <v>96.9</v>
      </c>
      <c r="J209" s="228">
        <f t="shared" si="9"/>
        <v>96.9</v>
      </c>
      <c r="K209" s="228">
        <v>100</v>
      </c>
      <c r="L209" s="228">
        <v>100</v>
      </c>
      <c r="M209" s="228">
        <v>100</v>
      </c>
      <c r="N209" s="228">
        <v>100</v>
      </c>
      <c r="O209" s="228">
        <v>100</v>
      </c>
      <c r="P209" s="228">
        <v>100</v>
      </c>
      <c r="Q209" s="19"/>
    </row>
    <row r="210" spans="1:17" ht="15">
      <c r="A210" s="18"/>
      <c r="B210" s="18">
        <v>6171</v>
      </c>
      <c r="C210" s="18">
        <v>2324</v>
      </c>
      <c r="D210" s="18" t="s">
        <v>142</v>
      </c>
      <c r="E210" s="228">
        <v>7.5</v>
      </c>
      <c r="F210" s="228">
        <v>4</v>
      </c>
      <c r="G210" s="228">
        <v>5</v>
      </c>
      <c r="H210" s="228">
        <v>5</v>
      </c>
      <c r="I210" s="228">
        <v>5.2</v>
      </c>
      <c r="J210" s="228">
        <f t="shared" si="9"/>
        <v>104</v>
      </c>
      <c r="K210" s="228">
        <v>5</v>
      </c>
      <c r="L210" s="228">
        <v>5</v>
      </c>
      <c r="M210" s="228">
        <v>5</v>
      </c>
      <c r="N210" s="228">
        <v>5</v>
      </c>
      <c r="O210" s="228">
        <v>5</v>
      </c>
      <c r="P210" s="228">
        <v>5</v>
      </c>
      <c r="Q210" s="19"/>
    </row>
    <row r="211" spans="1:17" ht="15" hidden="1">
      <c r="A211" s="18"/>
      <c r="B211" s="18">
        <v>6171</v>
      </c>
      <c r="C211" s="18">
        <v>2329</v>
      </c>
      <c r="D211" s="18" t="s">
        <v>143</v>
      </c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19"/>
    </row>
    <row r="212" spans="1:17" ht="15" customHeight="1" thickBot="1">
      <c r="A212" s="44"/>
      <c r="B212" s="44"/>
      <c r="C212" s="44"/>
      <c r="D212" s="44" t="s">
        <v>497</v>
      </c>
      <c r="E212" s="260">
        <v>500</v>
      </c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45"/>
    </row>
    <row r="213" spans="1:17" s="26" customFormat="1" ht="21.75" customHeight="1" thickBot="1" thickTop="1">
      <c r="A213" s="46"/>
      <c r="B213" s="46"/>
      <c r="C213" s="46"/>
      <c r="D213" s="47" t="s">
        <v>144</v>
      </c>
      <c r="E213" s="261">
        <f>SUM(E197:E212)</f>
        <v>6901.799999999999</v>
      </c>
      <c r="F213" s="261">
        <f>SUM(F197:F212)</f>
        <v>13819.199999999999</v>
      </c>
      <c r="G213" s="261">
        <f>SUM(G197:G212)</f>
        <v>12030</v>
      </c>
      <c r="H213" s="261">
        <f>SUM(H197:H212)</f>
        <v>12376.3</v>
      </c>
      <c r="I213" s="261">
        <f>SUM(I197:I212)</f>
        <v>8775.1</v>
      </c>
      <c r="J213" s="231">
        <f>(I213/H213)*100</f>
        <v>70.90245065164872</v>
      </c>
      <c r="K213" s="261">
        <f aca="true" t="shared" si="10" ref="K213:P213">SUM(K197:K212)</f>
        <v>10088.1</v>
      </c>
      <c r="L213" s="261">
        <f t="shared" si="10"/>
        <v>10630</v>
      </c>
      <c r="M213" s="261">
        <f t="shared" si="10"/>
        <v>13000</v>
      </c>
      <c r="N213" s="261">
        <f t="shared" si="10"/>
        <v>10630</v>
      </c>
      <c r="O213" s="261">
        <f t="shared" si="10"/>
        <v>12595</v>
      </c>
      <c r="P213" s="261">
        <f t="shared" si="10"/>
        <v>13595</v>
      </c>
      <c r="Q213" s="48"/>
    </row>
    <row r="214" spans="1:17" ht="14.25" customHeight="1">
      <c r="A214" s="34"/>
      <c r="B214" s="34"/>
      <c r="C214" s="34"/>
      <c r="D214" s="5"/>
      <c r="E214" s="5"/>
      <c r="F214" s="5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35"/>
    </row>
    <row r="215" spans="1:17" ht="14.25" customHeight="1">
      <c r="A215" s="34"/>
      <c r="B215" s="34"/>
      <c r="C215" s="34"/>
      <c r="D215" s="5"/>
      <c r="E215" s="5"/>
      <c r="F215" s="5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35"/>
    </row>
    <row r="216" spans="1:17" ht="14.25" customHeight="1">
      <c r="A216" s="34"/>
      <c r="B216" s="34"/>
      <c r="C216" s="34"/>
      <c r="D216" s="5"/>
      <c r="E216" s="5"/>
      <c r="F216" s="5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35"/>
    </row>
    <row r="217" spans="1:17" ht="14.25" customHeight="1">
      <c r="A217" s="34"/>
      <c r="B217" s="34"/>
      <c r="C217" s="34"/>
      <c r="D217" s="5"/>
      <c r="E217" s="5"/>
      <c r="F217" s="5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35"/>
    </row>
    <row r="218" spans="1:17" ht="15" customHeight="1">
      <c r="A218" s="34"/>
      <c r="B218" s="34"/>
      <c r="C218" s="34"/>
      <c r="D218" s="5"/>
      <c r="E218" s="5"/>
      <c r="F218" s="5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35"/>
    </row>
    <row r="219" spans="1:17" ht="15" customHeight="1" thickBot="1">
      <c r="A219" s="34"/>
      <c r="B219" s="34"/>
      <c r="C219" s="34"/>
      <c r="D219" s="5"/>
      <c r="E219" s="5"/>
      <c r="F219" s="5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35"/>
    </row>
    <row r="220" spans="1:17" ht="15.75">
      <c r="A220" s="9" t="s">
        <v>2</v>
      </c>
      <c r="B220" s="9" t="s">
        <v>3</v>
      </c>
      <c r="C220" s="9" t="s">
        <v>4</v>
      </c>
      <c r="D220" s="10" t="s">
        <v>5</v>
      </c>
      <c r="E220" s="9" t="s">
        <v>7</v>
      </c>
      <c r="F220" s="10" t="s">
        <v>7</v>
      </c>
      <c r="G220" s="9" t="s">
        <v>499</v>
      </c>
      <c r="H220" s="9" t="s">
        <v>500</v>
      </c>
      <c r="I220" s="11" t="s">
        <v>7</v>
      </c>
      <c r="J220" s="9" t="s">
        <v>8</v>
      </c>
      <c r="K220" s="9" t="s">
        <v>404</v>
      </c>
      <c r="L220" s="101" t="s">
        <v>410</v>
      </c>
      <c r="M220" s="101" t="s">
        <v>6</v>
      </c>
      <c r="N220" s="101" t="s">
        <v>410</v>
      </c>
      <c r="O220" s="101" t="s">
        <v>6</v>
      </c>
      <c r="P220" s="101" t="s">
        <v>6</v>
      </c>
      <c r="Q220" s="101" t="s">
        <v>403</v>
      </c>
    </row>
    <row r="221" spans="1:17" ht="16.5" thickBot="1">
      <c r="A221" s="12"/>
      <c r="B221" s="12"/>
      <c r="C221" s="12"/>
      <c r="D221" s="13"/>
      <c r="E221" s="12">
        <v>2007</v>
      </c>
      <c r="F221" s="331">
        <v>2008</v>
      </c>
      <c r="G221" s="14" t="s">
        <v>405</v>
      </c>
      <c r="H221" s="14" t="s">
        <v>405</v>
      </c>
      <c r="I221" s="14" t="s">
        <v>433</v>
      </c>
      <c r="J221" s="14" t="s">
        <v>11</v>
      </c>
      <c r="K221" s="14" t="s">
        <v>405</v>
      </c>
      <c r="L221" s="105" t="s">
        <v>402</v>
      </c>
      <c r="M221" s="105" t="s">
        <v>402</v>
      </c>
      <c r="N221" s="105" t="s">
        <v>440</v>
      </c>
      <c r="O221" s="105" t="s">
        <v>440</v>
      </c>
      <c r="P221" s="105" t="s">
        <v>441</v>
      </c>
      <c r="Q221" s="105"/>
    </row>
    <row r="222" spans="1:17" ht="15.75" customHeight="1" thickTop="1">
      <c r="A222" s="15">
        <v>70</v>
      </c>
      <c r="B222" s="15"/>
      <c r="C222" s="15"/>
      <c r="D222" s="16" t="s">
        <v>145</v>
      </c>
      <c r="E222" s="16"/>
      <c r="F222" s="16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17"/>
    </row>
    <row r="223" spans="1:17" ht="15.75">
      <c r="A223" s="37"/>
      <c r="B223" s="37"/>
      <c r="C223" s="37"/>
      <c r="D223" s="37"/>
      <c r="E223" s="37"/>
      <c r="F223" s="37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19"/>
    </row>
    <row r="224" spans="1:17" ht="15">
      <c r="A224" s="18"/>
      <c r="B224" s="18"/>
      <c r="C224" s="18">
        <v>1361</v>
      </c>
      <c r="D224" s="18" t="s">
        <v>14</v>
      </c>
      <c r="E224" s="228">
        <v>1432.9</v>
      </c>
      <c r="F224" s="228">
        <v>1037.8</v>
      </c>
      <c r="G224" s="262">
        <v>850</v>
      </c>
      <c r="H224" s="262">
        <v>850</v>
      </c>
      <c r="I224" s="228">
        <v>587.9</v>
      </c>
      <c r="J224" s="228">
        <f>(I224/H224)*100</f>
        <v>69.16470588235293</v>
      </c>
      <c r="K224" s="228">
        <v>800</v>
      </c>
      <c r="L224" s="228">
        <v>850</v>
      </c>
      <c r="M224" s="262">
        <v>880</v>
      </c>
      <c r="N224" s="228">
        <v>850</v>
      </c>
      <c r="O224" s="262">
        <v>730</v>
      </c>
      <c r="P224" s="262">
        <v>730</v>
      </c>
      <c r="Q224" s="206" t="s">
        <v>425</v>
      </c>
    </row>
    <row r="225" spans="1:17" ht="15">
      <c r="A225" s="18"/>
      <c r="B225" s="18">
        <v>6171</v>
      </c>
      <c r="C225" s="18">
        <v>2210</v>
      </c>
      <c r="D225" s="18" t="s">
        <v>97</v>
      </c>
      <c r="E225" s="228">
        <v>488.6</v>
      </c>
      <c r="F225" s="228">
        <v>456.5</v>
      </c>
      <c r="G225" s="262">
        <v>330</v>
      </c>
      <c r="H225" s="262">
        <v>330</v>
      </c>
      <c r="I225" s="228">
        <v>327.6</v>
      </c>
      <c r="J225" s="228">
        <f>(I225/H225)*100</f>
        <v>99.27272727272728</v>
      </c>
      <c r="K225" s="228">
        <v>440</v>
      </c>
      <c r="L225" s="228">
        <v>330</v>
      </c>
      <c r="M225" s="262">
        <v>400</v>
      </c>
      <c r="N225" s="228">
        <v>330</v>
      </c>
      <c r="O225" s="262">
        <v>250</v>
      </c>
      <c r="P225" s="262">
        <v>250</v>
      </c>
      <c r="Q225" s="206" t="s">
        <v>426</v>
      </c>
    </row>
    <row r="226" spans="1:17" ht="15">
      <c r="A226" s="20"/>
      <c r="B226" s="20">
        <v>6171</v>
      </c>
      <c r="C226" s="20">
        <v>2324</v>
      </c>
      <c r="D226" s="20" t="s">
        <v>146</v>
      </c>
      <c r="E226" s="229">
        <v>14</v>
      </c>
      <c r="F226" s="229">
        <v>21</v>
      </c>
      <c r="G226" s="262">
        <v>20</v>
      </c>
      <c r="H226" s="262">
        <v>20</v>
      </c>
      <c r="I226" s="229">
        <v>9.2</v>
      </c>
      <c r="J226" s="228">
        <f>(I226/H226)*100</f>
        <v>46</v>
      </c>
      <c r="K226" s="228">
        <v>10</v>
      </c>
      <c r="L226" s="229">
        <v>20</v>
      </c>
      <c r="M226" s="262">
        <v>20</v>
      </c>
      <c r="N226" s="229">
        <v>20</v>
      </c>
      <c r="O226" s="262">
        <v>20</v>
      </c>
      <c r="P226" s="262">
        <v>20</v>
      </c>
      <c r="Q226" s="206" t="s">
        <v>416</v>
      </c>
    </row>
    <row r="227" spans="1:17" ht="15.75" thickBot="1">
      <c r="A227" s="44"/>
      <c r="B227" s="44"/>
      <c r="C227" s="44"/>
      <c r="D227" s="44"/>
      <c r="E227" s="260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0"/>
      <c r="Q227" s="45"/>
    </row>
    <row r="228" spans="1:17" s="26" customFormat="1" ht="21.75" customHeight="1" thickBot="1" thickTop="1">
      <c r="A228" s="46"/>
      <c r="B228" s="46"/>
      <c r="C228" s="46"/>
      <c r="D228" s="47" t="s">
        <v>147</v>
      </c>
      <c r="E228" s="261">
        <f>SUM(E223:E227)</f>
        <v>1935.5</v>
      </c>
      <c r="F228" s="261">
        <f>SUM(F223:F227)</f>
        <v>1515.3</v>
      </c>
      <c r="G228" s="261">
        <f>SUM(G223:G227)</f>
        <v>1200</v>
      </c>
      <c r="H228" s="261">
        <f>SUM(H223:H227)</f>
        <v>1200</v>
      </c>
      <c r="I228" s="261">
        <f>SUM(I223:I227)</f>
        <v>924.7</v>
      </c>
      <c r="J228" s="231">
        <f>(I228/H228)*100</f>
        <v>77.05833333333334</v>
      </c>
      <c r="K228" s="261">
        <f aca="true" t="shared" si="11" ref="K228:P228">SUM(K223:K227)</f>
        <v>1250</v>
      </c>
      <c r="L228" s="261">
        <f t="shared" si="11"/>
        <v>1200</v>
      </c>
      <c r="M228" s="261">
        <f t="shared" si="11"/>
        <v>1300</v>
      </c>
      <c r="N228" s="261">
        <f t="shared" si="11"/>
        <v>1200</v>
      </c>
      <c r="O228" s="261">
        <f t="shared" si="11"/>
        <v>1000</v>
      </c>
      <c r="P228" s="261">
        <f t="shared" si="11"/>
        <v>1000</v>
      </c>
      <c r="Q228" s="48"/>
    </row>
    <row r="229" spans="1:17" ht="15" customHeight="1">
      <c r="A229" s="34"/>
      <c r="B229" s="34"/>
      <c r="C229" s="34"/>
      <c r="D229" s="5"/>
      <c r="E229" s="5"/>
      <c r="F229" s="5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35"/>
    </row>
    <row r="230" spans="1:17" ht="15" customHeight="1">
      <c r="A230" s="34"/>
      <c r="B230" s="34"/>
      <c r="C230" s="34"/>
      <c r="D230" s="5"/>
      <c r="E230" s="5"/>
      <c r="F230" s="5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35"/>
    </row>
    <row r="231" spans="1:17" ht="15" customHeight="1" thickBot="1">
      <c r="A231" s="34"/>
      <c r="B231" s="34"/>
      <c r="C231" s="34"/>
      <c r="D231" s="5"/>
      <c r="E231" s="5"/>
      <c r="F231" s="5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35"/>
    </row>
    <row r="232" spans="1:17" ht="15.75">
      <c r="A232" s="9" t="s">
        <v>2</v>
      </c>
      <c r="B232" s="9" t="s">
        <v>3</v>
      </c>
      <c r="C232" s="9" t="s">
        <v>4</v>
      </c>
      <c r="D232" s="10" t="s">
        <v>5</v>
      </c>
      <c r="E232" s="9" t="s">
        <v>7</v>
      </c>
      <c r="F232" s="10" t="s">
        <v>7</v>
      </c>
      <c r="G232" s="9" t="s">
        <v>499</v>
      </c>
      <c r="H232" s="9" t="s">
        <v>500</v>
      </c>
      <c r="I232" s="11" t="s">
        <v>7</v>
      </c>
      <c r="J232" s="9" t="s">
        <v>8</v>
      </c>
      <c r="K232" s="9" t="s">
        <v>404</v>
      </c>
      <c r="L232" s="101" t="s">
        <v>410</v>
      </c>
      <c r="M232" s="101" t="s">
        <v>6</v>
      </c>
      <c r="N232" s="101" t="s">
        <v>410</v>
      </c>
      <c r="O232" s="101" t="s">
        <v>6</v>
      </c>
      <c r="P232" s="101" t="s">
        <v>6</v>
      </c>
      <c r="Q232" s="101" t="s">
        <v>403</v>
      </c>
    </row>
    <row r="233" spans="1:17" ht="16.5" thickBot="1">
      <c r="A233" s="12"/>
      <c r="B233" s="12"/>
      <c r="C233" s="12"/>
      <c r="D233" s="13"/>
      <c r="E233" s="12">
        <v>2007</v>
      </c>
      <c r="F233" s="331">
        <v>2008</v>
      </c>
      <c r="G233" s="14" t="s">
        <v>405</v>
      </c>
      <c r="H233" s="14" t="s">
        <v>405</v>
      </c>
      <c r="I233" s="14" t="s">
        <v>433</v>
      </c>
      <c r="J233" s="14" t="s">
        <v>11</v>
      </c>
      <c r="K233" s="14" t="s">
        <v>405</v>
      </c>
      <c r="L233" s="105" t="s">
        <v>402</v>
      </c>
      <c r="M233" s="105" t="s">
        <v>402</v>
      </c>
      <c r="N233" s="105" t="s">
        <v>440</v>
      </c>
      <c r="O233" s="105" t="s">
        <v>440</v>
      </c>
      <c r="P233" s="105" t="s">
        <v>441</v>
      </c>
      <c r="Q233" s="105"/>
    </row>
    <row r="234" spans="1:17" ht="15.75" customHeight="1" thickTop="1">
      <c r="A234" s="15">
        <v>80</v>
      </c>
      <c r="B234" s="15"/>
      <c r="C234" s="15"/>
      <c r="D234" s="16" t="s">
        <v>148</v>
      </c>
      <c r="E234" s="16"/>
      <c r="F234" s="16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17"/>
    </row>
    <row r="235" spans="1:17" ht="15">
      <c r="A235" s="18"/>
      <c r="B235" s="18"/>
      <c r="C235" s="18"/>
      <c r="D235" s="18"/>
      <c r="E235" s="18"/>
      <c r="F235" s="1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19"/>
    </row>
    <row r="236" spans="1:17" ht="15">
      <c r="A236" s="18"/>
      <c r="B236" s="18"/>
      <c r="C236" s="18">
        <v>1353</v>
      </c>
      <c r="D236" s="18" t="s">
        <v>149</v>
      </c>
      <c r="E236" s="241">
        <v>923</v>
      </c>
      <c r="F236" s="241">
        <v>1107.6</v>
      </c>
      <c r="G236" s="241">
        <v>850</v>
      </c>
      <c r="H236" s="241">
        <v>850</v>
      </c>
      <c r="I236" s="228">
        <v>740.5</v>
      </c>
      <c r="J236" s="228">
        <f aca="true" t="shared" si="12" ref="J236:J241">(I236/H236)*100</f>
        <v>87.11764705882354</v>
      </c>
      <c r="K236" s="263">
        <v>950</v>
      </c>
      <c r="L236" s="228">
        <v>870</v>
      </c>
      <c r="M236" s="19">
        <v>950</v>
      </c>
      <c r="N236" s="228">
        <v>880</v>
      </c>
      <c r="O236" s="241">
        <v>880</v>
      </c>
      <c r="P236" s="228">
        <v>880</v>
      </c>
      <c r="Q236" s="50"/>
    </row>
    <row r="237" spans="1:17" ht="15">
      <c r="A237" s="18"/>
      <c r="B237" s="18"/>
      <c r="C237" s="18">
        <v>1359</v>
      </c>
      <c r="D237" s="18" t="s">
        <v>150</v>
      </c>
      <c r="E237" s="241">
        <v>0</v>
      </c>
      <c r="F237" s="241">
        <v>0</v>
      </c>
      <c r="G237" s="241">
        <v>0</v>
      </c>
      <c r="H237" s="241">
        <v>0</v>
      </c>
      <c r="I237" s="228">
        <v>348</v>
      </c>
      <c r="J237" s="228" t="e">
        <f t="shared" si="12"/>
        <v>#DIV/0!</v>
      </c>
      <c r="K237" s="263">
        <v>0</v>
      </c>
      <c r="L237" s="228">
        <v>0</v>
      </c>
      <c r="M237" s="19">
        <v>0</v>
      </c>
      <c r="N237" s="228">
        <v>0</v>
      </c>
      <c r="O237" s="241">
        <v>0</v>
      </c>
      <c r="P237" s="228">
        <v>0</v>
      </c>
      <c r="Q237" s="50"/>
    </row>
    <row r="238" spans="1:17" ht="15">
      <c r="A238" s="18"/>
      <c r="B238" s="18"/>
      <c r="C238" s="18">
        <v>1361</v>
      </c>
      <c r="D238" s="18" t="s">
        <v>14</v>
      </c>
      <c r="E238" s="241">
        <v>9214.4</v>
      </c>
      <c r="F238" s="241">
        <v>10044.6</v>
      </c>
      <c r="G238" s="241">
        <v>9630</v>
      </c>
      <c r="H238" s="241">
        <v>9630</v>
      </c>
      <c r="I238" s="228">
        <v>5461.8</v>
      </c>
      <c r="J238" s="228">
        <f t="shared" si="12"/>
        <v>56.716510903426794</v>
      </c>
      <c r="K238" s="263">
        <v>7800</v>
      </c>
      <c r="L238" s="228">
        <v>8700</v>
      </c>
      <c r="M238" s="19">
        <v>9150</v>
      </c>
      <c r="N238" s="228">
        <v>8900</v>
      </c>
      <c r="O238" s="241">
        <v>8900</v>
      </c>
      <c r="P238" s="228">
        <v>8900</v>
      </c>
      <c r="Q238" s="50"/>
    </row>
    <row r="239" spans="1:17" ht="15">
      <c r="A239" s="18"/>
      <c r="B239" s="18">
        <v>6171</v>
      </c>
      <c r="C239" s="18">
        <v>2210</v>
      </c>
      <c r="D239" s="18" t="s">
        <v>151</v>
      </c>
      <c r="E239" s="241">
        <v>2186.3</v>
      </c>
      <c r="F239" s="241">
        <v>2357.2</v>
      </c>
      <c r="G239" s="241">
        <v>2000</v>
      </c>
      <c r="H239" s="241">
        <v>2000</v>
      </c>
      <c r="I239" s="228">
        <v>1745.5</v>
      </c>
      <c r="J239" s="228">
        <f t="shared" si="12"/>
        <v>87.275</v>
      </c>
      <c r="K239" s="263">
        <v>2200</v>
      </c>
      <c r="L239" s="228">
        <v>1800</v>
      </c>
      <c r="M239" s="19">
        <v>2100</v>
      </c>
      <c r="N239" s="228">
        <v>1800</v>
      </c>
      <c r="O239" s="241">
        <v>1800</v>
      </c>
      <c r="P239" s="228">
        <v>1800</v>
      </c>
      <c r="Q239" s="50"/>
    </row>
    <row r="240" spans="1:17" ht="15">
      <c r="A240" s="20"/>
      <c r="B240" s="20">
        <v>6171</v>
      </c>
      <c r="C240" s="20">
        <v>2324</v>
      </c>
      <c r="D240" s="20" t="s">
        <v>152</v>
      </c>
      <c r="E240" s="230">
        <v>251.5</v>
      </c>
      <c r="F240" s="230">
        <v>262.7</v>
      </c>
      <c r="G240" s="230">
        <v>250</v>
      </c>
      <c r="H240" s="230">
        <v>250</v>
      </c>
      <c r="I240" s="229">
        <v>173.5</v>
      </c>
      <c r="J240" s="228">
        <f t="shared" si="12"/>
        <v>69.39999999999999</v>
      </c>
      <c r="K240" s="264">
        <v>250</v>
      </c>
      <c r="L240" s="229">
        <v>250</v>
      </c>
      <c r="M240" s="21">
        <v>300</v>
      </c>
      <c r="N240" s="229">
        <v>250</v>
      </c>
      <c r="O240" s="230">
        <v>250</v>
      </c>
      <c r="P240" s="229">
        <v>250</v>
      </c>
      <c r="Q240" s="22"/>
    </row>
    <row r="241" spans="1:17" ht="15">
      <c r="A241" s="20"/>
      <c r="B241" s="20">
        <v>6171</v>
      </c>
      <c r="C241" s="20">
        <v>2329</v>
      </c>
      <c r="D241" s="20" t="s">
        <v>153</v>
      </c>
      <c r="E241" s="230">
        <v>0</v>
      </c>
      <c r="F241" s="230">
        <v>0</v>
      </c>
      <c r="G241" s="230">
        <v>0</v>
      </c>
      <c r="H241" s="230">
        <v>0</v>
      </c>
      <c r="I241" s="229">
        <v>9</v>
      </c>
      <c r="J241" s="229" t="e">
        <f t="shared" si="12"/>
        <v>#DIV/0!</v>
      </c>
      <c r="K241" s="264">
        <v>0</v>
      </c>
      <c r="L241" s="229">
        <v>0</v>
      </c>
      <c r="M241" s="230">
        <v>0</v>
      </c>
      <c r="N241" s="230">
        <v>0</v>
      </c>
      <c r="O241" s="230">
        <v>0</v>
      </c>
      <c r="P241" s="229">
        <v>0</v>
      </c>
      <c r="Q241" s="22"/>
    </row>
    <row r="242" spans="1:17" ht="15.75" thickBot="1">
      <c r="A242" s="44"/>
      <c r="B242" s="44"/>
      <c r="C242" s="44"/>
      <c r="D242" s="44" t="s">
        <v>494</v>
      </c>
      <c r="E242" s="260">
        <v>23</v>
      </c>
      <c r="F242" s="260">
        <v>0</v>
      </c>
      <c r="G242" s="260"/>
      <c r="H242" s="260"/>
      <c r="I242" s="260"/>
      <c r="J242" s="260"/>
      <c r="K242" s="260"/>
      <c r="L242" s="260"/>
      <c r="M242" s="260"/>
      <c r="N242" s="260"/>
      <c r="O242" s="260"/>
      <c r="P242" s="260"/>
      <c r="Q242" s="45"/>
    </row>
    <row r="243" spans="1:17" s="26" customFormat="1" ht="21.75" customHeight="1" thickBot="1" thickTop="1">
      <c r="A243" s="46"/>
      <c r="B243" s="46"/>
      <c r="C243" s="46"/>
      <c r="D243" s="47" t="s">
        <v>154</v>
      </c>
      <c r="E243" s="261">
        <f>SUM(E235:E242)</f>
        <v>12598.2</v>
      </c>
      <c r="F243" s="261">
        <f>SUM(F235:F242)</f>
        <v>13772.100000000002</v>
      </c>
      <c r="G243" s="261">
        <f>SUM(G235:G242)</f>
        <v>12730</v>
      </c>
      <c r="H243" s="261">
        <f>SUM(H235:H242)</f>
        <v>12730</v>
      </c>
      <c r="I243" s="261">
        <f>SUM(I235:I242)</f>
        <v>8478.3</v>
      </c>
      <c r="J243" s="231">
        <f>(I243/H243)*100</f>
        <v>66.60094265514532</v>
      </c>
      <c r="K243" s="261">
        <f aca="true" t="shared" si="13" ref="K243:P243">SUM(K235:K242)</f>
        <v>11200</v>
      </c>
      <c r="L243" s="261">
        <f t="shared" si="13"/>
        <v>11620</v>
      </c>
      <c r="M243" s="261">
        <f t="shared" si="13"/>
        <v>12500</v>
      </c>
      <c r="N243" s="261">
        <f t="shared" si="13"/>
        <v>11830</v>
      </c>
      <c r="O243" s="261">
        <f t="shared" si="13"/>
        <v>11830</v>
      </c>
      <c r="P243" s="261">
        <f t="shared" si="13"/>
        <v>11830</v>
      </c>
      <c r="Q243" s="48"/>
    </row>
    <row r="244" spans="1:17" ht="15" customHeight="1">
      <c r="A244" s="34"/>
      <c r="B244" s="34"/>
      <c r="C244" s="34"/>
      <c r="D244" s="5"/>
      <c r="E244" s="5"/>
      <c r="F244" s="5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35"/>
    </row>
    <row r="245" spans="1:17" ht="15" customHeight="1" hidden="1">
      <c r="A245" s="34"/>
      <c r="B245" s="34"/>
      <c r="C245" s="34"/>
      <c r="D245" s="5"/>
      <c r="E245" s="5"/>
      <c r="F245" s="5"/>
      <c r="G245" s="79"/>
      <c r="H245" s="79"/>
      <c r="I245" s="265"/>
      <c r="J245" s="79"/>
      <c r="K245" s="79"/>
      <c r="L245" s="265"/>
      <c r="M245" s="79"/>
      <c r="N245" s="79"/>
      <c r="O245" s="79"/>
      <c r="P245" s="79"/>
      <c r="Q245" s="35"/>
    </row>
    <row r="246" spans="1:17" ht="15" customHeight="1">
      <c r="A246" s="34"/>
      <c r="B246" s="34"/>
      <c r="C246" s="34"/>
      <c r="D246" s="5"/>
      <c r="E246" s="5"/>
      <c r="F246" s="5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35"/>
    </row>
    <row r="247" spans="1:17" ht="15" customHeight="1" thickBot="1">
      <c r="A247" s="34"/>
      <c r="B247" s="34"/>
      <c r="C247" s="34"/>
      <c r="D247" s="5"/>
      <c r="E247" s="5"/>
      <c r="F247" s="5"/>
      <c r="G247" s="79"/>
      <c r="H247" s="79"/>
      <c r="I247" s="250"/>
      <c r="J247" s="79"/>
      <c r="K247" s="79"/>
      <c r="L247" s="250"/>
      <c r="M247" s="79"/>
      <c r="N247" s="79"/>
      <c r="O247" s="79"/>
      <c r="P247" s="79"/>
      <c r="Q247" s="35"/>
    </row>
    <row r="248" spans="1:17" ht="15.75">
      <c r="A248" s="9" t="s">
        <v>2</v>
      </c>
      <c r="B248" s="9" t="s">
        <v>3</v>
      </c>
      <c r="C248" s="9" t="s">
        <v>4</v>
      </c>
      <c r="D248" s="10" t="s">
        <v>5</v>
      </c>
      <c r="E248" s="9" t="s">
        <v>7</v>
      </c>
      <c r="F248" s="10" t="s">
        <v>7</v>
      </c>
      <c r="G248" s="9" t="s">
        <v>499</v>
      </c>
      <c r="H248" s="9" t="s">
        <v>500</v>
      </c>
      <c r="I248" s="11" t="s">
        <v>7</v>
      </c>
      <c r="J248" s="9" t="s">
        <v>8</v>
      </c>
      <c r="K248" s="9" t="s">
        <v>404</v>
      </c>
      <c r="L248" s="101" t="s">
        <v>410</v>
      </c>
      <c r="M248" s="101" t="s">
        <v>6</v>
      </c>
      <c r="N248" s="101" t="s">
        <v>410</v>
      </c>
      <c r="O248" s="101" t="s">
        <v>6</v>
      </c>
      <c r="P248" s="101" t="s">
        <v>6</v>
      </c>
      <c r="Q248" s="101" t="s">
        <v>403</v>
      </c>
    </row>
    <row r="249" spans="1:17" ht="16.5" thickBot="1">
      <c r="A249" s="12"/>
      <c r="B249" s="12"/>
      <c r="C249" s="12"/>
      <c r="D249" s="13"/>
      <c r="E249" s="12">
        <v>2007</v>
      </c>
      <c r="F249" s="331">
        <v>2008</v>
      </c>
      <c r="G249" s="14" t="s">
        <v>405</v>
      </c>
      <c r="H249" s="14" t="s">
        <v>405</v>
      </c>
      <c r="I249" s="14" t="s">
        <v>433</v>
      </c>
      <c r="J249" s="14" t="s">
        <v>11</v>
      </c>
      <c r="K249" s="14" t="s">
        <v>405</v>
      </c>
      <c r="L249" s="105" t="s">
        <v>402</v>
      </c>
      <c r="M249" s="105" t="s">
        <v>402</v>
      </c>
      <c r="N249" s="105" t="s">
        <v>440</v>
      </c>
      <c r="O249" s="105" t="s">
        <v>440</v>
      </c>
      <c r="P249" s="105" t="s">
        <v>441</v>
      </c>
      <c r="Q249" s="105"/>
    </row>
    <row r="250" spans="1:17" ht="16.5" customHeight="1" thickTop="1">
      <c r="A250" s="15">
        <v>90</v>
      </c>
      <c r="B250" s="15"/>
      <c r="C250" s="15"/>
      <c r="D250" s="16" t="s">
        <v>155</v>
      </c>
      <c r="E250" s="16"/>
      <c r="F250" s="16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17"/>
    </row>
    <row r="251" spans="1:17" ht="15.75">
      <c r="A251" s="15"/>
      <c r="B251" s="15"/>
      <c r="C251" s="15"/>
      <c r="D251" s="16"/>
      <c r="E251" s="16"/>
      <c r="F251" s="16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17"/>
    </row>
    <row r="252" spans="1:17" ht="15">
      <c r="A252" s="32"/>
      <c r="B252" s="32"/>
      <c r="C252" s="32">
        <v>4121</v>
      </c>
      <c r="D252" s="32" t="s">
        <v>156</v>
      </c>
      <c r="E252" s="249">
        <v>300</v>
      </c>
      <c r="F252" s="249">
        <v>300</v>
      </c>
      <c r="G252" s="266">
        <v>300</v>
      </c>
      <c r="H252" s="266">
        <v>300</v>
      </c>
      <c r="I252" s="266">
        <v>225</v>
      </c>
      <c r="J252" s="228">
        <f>(I252/H252)*100</f>
        <v>75</v>
      </c>
      <c r="K252" s="266">
        <v>300</v>
      </c>
      <c r="L252" s="266">
        <v>300</v>
      </c>
      <c r="M252" s="266">
        <v>300</v>
      </c>
      <c r="N252" s="266">
        <v>300</v>
      </c>
      <c r="O252" s="266">
        <v>300</v>
      </c>
      <c r="P252" s="266">
        <v>300</v>
      </c>
      <c r="Q252" s="51"/>
    </row>
    <row r="253" spans="1:17" ht="15">
      <c r="A253" s="18"/>
      <c r="B253" s="18">
        <v>5311</v>
      </c>
      <c r="C253" s="18">
        <v>2111</v>
      </c>
      <c r="D253" s="18" t="s">
        <v>32</v>
      </c>
      <c r="E253" s="228">
        <v>766.3</v>
      </c>
      <c r="F253" s="228">
        <v>795.7</v>
      </c>
      <c r="G253" s="267">
        <v>650</v>
      </c>
      <c r="H253" s="267">
        <v>650</v>
      </c>
      <c r="I253" s="267">
        <v>593.4</v>
      </c>
      <c r="J253" s="228">
        <f>(I253/H253)*100</f>
        <v>91.29230769230769</v>
      </c>
      <c r="K253" s="267">
        <v>680</v>
      </c>
      <c r="L253" s="267">
        <v>650</v>
      </c>
      <c r="M253" s="267">
        <v>700</v>
      </c>
      <c r="N253" s="267">
        <v>650</v>
      </c>
      <c r="O253" s="267">
        <v>650</v>
      </c>
      <c r="P253" s="267">
        <v>650</v>
      </c>
      <c r="Q253" s="52"/>
    </row>
    <row r="254" spans="1:17" ht="15">
      <c r="A254" s="18"/>
      <c r="B254" s="18">
        <v>5311</v>
      </c>
      <c r="C254" s="18">
        <v>2210</v>
      </c>
      <c r="D254" s="18" t="s">
        <v>151</v>
      </c>
      <c r="E254" s="228">
        <v>1514.5</v>
      </c>
      <c r="F254" s="228">
        <v>1386.3</v>
      </c>
      <c r="G254" s="268">
        <v>1650</v>
      </c>
      <c r="H254" s="268">
        <v>1650</v>
      </c>
      <c r="I254" s="268">
        <v>1226.9</v>
      </c>
      <c r="J254" s="228">
        <f>(I254/H254)*100</f>
        <v>74.35757575757577</v>
      </c>
      <c r="K254" s="268">
        <v>1650</v>
      </c>
      <c r="L254" s="268">
        <v>1300</v>
      </c>
      <c r="M254" s="268">
        <v>1800</v>
      </c>
      <c r="N254" s="268">
        <v>1300</v>
      </c>
      <c r="O254" s="268">
        <v>1500</v>
      </c>
      <c r="P254" s="268">
        <v>1500</v>
      </c>
      <c r="Q254" s="53"/>
    </row>
    <row r="255" spans="1:17" ht="15" hidden="1">
      <c r="A255" s="20"/>
      <c r="B255" s="20">
        <v>5311</v>
      </c>
      <c r="C255" s="20">
        <v>2310</v>
      </c>
      <c r="D255" s="20" t="s">
        <v>157</v>
      </c>
      <c r="E255" s="229"/>
      <c r="F255" s="229"/>
      <c r="G255" s="229"/>
      <c r="H255" s="229"/>
      <c r="I255" s="229"/>
      <c r="J255" s="228" t="e">
        <f>(I255/H255)*100</f>
        <v>#DIV/0!</v>
      </c>
      <c r="K255" s="229"/>
      <c r="L255" s="229"/>
      <c r="M255" s="229"/>
      <c r="N255" s="229"/>
      <c r="O255" s="229"/>
      <c r="P255" s="229"/>
      <c r="Q255" s="21"/>
    </row>
    <row r="256" spans="1:17" ht="15">
      <c r="A256" s="18"/>
      <c r="B256" s="18">
        <v>5311</v>
      </c>
      <c r="C256" s="18">
        <v>2324</v>
      </c>
      <c r="D256" s="18" t="s">
        <v>152</v>
      </c>
      <c r="E256" s="228">
        <v>91.4</v>
      </c>
      <c r="F256" s="228">
        <f>78.9+30</f>
        <v>108.9</v>
      </c>
      <c r="G256" s="228">
        <v>0</v>
      </c>
      <c r="H256" s="228">
        <v>0</v>
      </c>
      <c r="I256" s="228">
        <v>45.3</v>
      </c>
      <c r="J256" s="228" t="e">
        <f>(I256/H256)*100</f>
        <v>#DIV/0!</v>
      </c>
      <c r="K256" s="228">
        <v>46</v>
      </c>
      <c r="L256" s="228">
        <v>0</v>
      </c>
      <c r="M256" s="228">
        <v>0</v>
      </c>
      <c r="N256" s="228">
        <v>0</v>
      </c>
      <c r="O256" s="228">
        <v>0</v>
      </c>
      <c r="P256" s="228">
        <v>0</v>
      </c>
      <c r="Q256" s="19"/>
    </row>
    <row r="257" spans="1:17" ht="15" hidden="1">
      <c r="A257" s="20"/>
      <c r="B257" s="20">
        <v>5311</v>
      </c>
      <c r="C257" s="20">
        <v>3113</v>
      </c>
      <c r="D257" s="20" t="s">
        <v>158</v>
      </c>
      <c r="E257" s="229"/>
      <c r="F257" s="229"/>
      <c r="G257" s="229">
        <v>0</v>
      </c>
      <c r="H257" s="229">
        <v>0</v>
      </c>
      <c r="I257" s="229"/>
      <c r="J257" s="228" t="e">
        <f>(#REF!/H257)*100</f>
        <v>#REF!</v>
      </c>
      <c r="K257" s="229"/>
      <c r="L257" s="229"/>
      <c r="M257" s="229">
        <v>0</v>
      </c>
      <c r="N257" s="229"/>
      <c r="O257" s="229"/>
      <c r="P257" s="229"/>
      <c r="Q257" s="21">
        <v>0</v>
      </c>
    </row>
    <row r="258" spans="1:17" ht="15.75" thickBot="1">
      <c r="A258" s="44"/>
      <c r="B258" s="44"/>
      <c r="C258" s="44"/>
      <c r="D258" s="44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45"/>
    </row>
    <row r="259" spans="1:17" s="26" customFormat="1" ht="21.75" customHeight="1" thickBot="1" thickTop="1">
      <c r="A259" s="46"/>
      <c r="B259" s="46"/>
      <c r="C259" s="46"/>
      <c r="D259" s="47" t="s">
        <v>159</v>
      </c>
      <c r="E259" s="261">
        <f>SUM(E252:E258)</f>
        <v>2672.2000000000003</v>
      </c>
      <c r="F259" s="261">
        <f>SUM(F252:F258)</f>
        <v>2590.9</v>
      </c>
      <c r="G259" s="261">
        <f>SUM(G252:G258)</f>
        <v>2600</v>
      </c>
      <c r="H259" s="261">
        <f>SUM(H252:H258)</f>
        <v>2600</v>
      </c>
      <c r="I259" s="261">
        <f>SUM(I252:I258)</f>
        <v>2090.6000000000004</v>
      </c>
      <c r="J259" s="231">
        <f>(I259/H259)*100</f>
        <v>80.40769230769233</v>
      </c>
      <c r="K259" s="261">
        <f aca="true" t="shared" si="14" ref="K259:P259">SUM(K252:K258)</f>
        <v>2676</v>
      </c>
      <c r="L259" s="261">
        <f t="shared" si="14"/>
        <v>2250</v>
      </c>
      <c r="M259" s="261">
        <f t="shared" si="14"/>
        <v>2800</v>
      </c>
      <c r="N259" s="261">
        <f t="shared" si="14"/>
        <v>2250</v>
      </c>
      <c r="O259" s="261">
        <f t="shared" si="14"/>
        <v>2450</v>
      </c>
      <c r="P259" s="261">
        <f t="shared" si="14"/>
        <v>2450</v>
      </c>
      <c r="Q259" s="48"/>
    </row>
    <row r="260" spans="1:17" ht="15" customHeight="1">
      <c r="A260" s="34"/>
      <c r="B260" s="34"/>
      <c r="C260" s="34"/>
      <c r="D260" s="5"/>
      <c r="E260" s="5"/>
      <c r="F260" s="5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35"/>
    </row>
    <row r="261" spans="1:17" ht="15" customHeight="1" hidden="1">
      <c r="A261" s="34"/>
      <c r="B261" s="34"/>
      <c r="C261" s="34"/>
      <c r="D261" s="5"/>
      <c r="E261" s="5"/>
      <c r="F261" s="5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35"/>
    </row>
    <row r="262" spans="1:17" ht="15" customHeight="1" hidden="1">
      <c r="A262" s="34"/>
      <c r="B262" s="34"/>
      <c r="C262" s="34"/>
      <c r="D262" s="5"/>
      <c r="E262" s="5"/>
      <c r="F262" s="5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35"/>
    </row>
    <row r="263" spans="1:17" ht="15" customHeight="1">
      <c r="A263" s="34"/>
      <c r="B263" s="34"/>
      <c r="C263" s="34"/>
      <c r="D263" s="5"/>
      <c r="E263" s="5"/>
      <c r="F263" s="5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35"/>
    </row>
    <row r="264" spans="1:17" ht="15" customHeight="1">
      <c r="A264" s="34"/>
      <c r="B264" s="34"/>
      <c r="C264" s="34"/>
      <c r="D264" s="5"/>
      <c r="E264" s="5"/>
      <c r="F264" s="5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35"/>
    </row>
    <row r="265" spans="1:17" ht="15" customHeight="1">
      <c r="A265" s="34"/>
      <c r="B265" s="34"/>
      <c r="C265" s="34"/>
      <c r="D265" s="5"/>
      <c r="E265" s="5"/>
      <c r="F265" s="5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35"/>
    </row>
    <row r="266" spans="1:17" ht="15" customHeight="1">
      <c r="A266" s="34"/>
      <c r="B266" s="34"/>
      <c r="C266" s="34"/>
      <c r="D266" s="5"/>
      <c r="E266" s="5"/>
      <c r="F266" s="5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35"/>
    </row>
    <row r="267" spans="1:17" ht="15" customHeight="1">
      <c r="A267" s="34"/>
      <c r="B267" s="34"/>
      <c r="C267" s="34"/>
      <c r="D267" s="5"/>
      <c r="E267" s="5"/>
      <c r="F267" s="5"/>
      <c r="G267" s="79"/>
      <c r="H267" s="79"/>
      <c r="I267" s="79"/>
      <c r="J267" s="79"/>
      <c r="K267" s="79"/>
      <c r="L267" s="79"/>
      <c r="M267" s="79"/>
      <c r="N267" s="79"/>
      <c r="O267" s="79"/>
      <c r="P267" s="312" t="s">
        <v>484</v>
      </c>
      <c r="Q267" s="35"/>
    </row>
    <row r="268" spans="1:17" ht="15" customHeight="1" thickBot="1">
      <c r="A268" s="34"/>
      <c r="B268" s="34"/>
      <c r="C268" s="34"/>
      <c r="D268" s="5"/>
      <c r="E268" s="5"/>
      <c r="F268" s="5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35"/>
    </row>
    <row r="269" spans="1:17" ht="15.75" customHeight="1">
      <c r="A269" s="9" t="s">
        <v>2</v>
      </c>
      <c r="B269" s="9" t="s">
        <v>3</v>
      </c>
      <c r="C269" s="9" t="s">
        <v>4</v>
      </c>
      <c r="D269" s="10" t="s">
        <v>5</v>
      </c>
      <c r="E269" s="9" t="s">
        <v>7</v>
      </c>
      <c r="F269" s="10" t="s">
        <v>7</v>
      </c>
      <c r="G269" s="9" t="s">
        <v>499</v>
      </c>
      <c r="H269" s="9" t="s">
        <v>500</v>
      </c>
      <c r="I269" s="11" t="s">
        <v>7</v>
      </c>
      <c r="J269" s="9" t="s">
        <v>8</v>
      </c>
      <c r="K269" s="9" t="s">
        <v>404</v>
      </c>
      <c r="L269" s="101" t="s">
        <v>410</v>
      </c>
      <c r="M269" s="101" t="s">
        <v>6</v>
      </c>
      <c r="N269" s="101" t="s">
        <v>410</v>
      </c>
      <c r="O269" s="101" t="s">
        <v>6</v>
      </c>
      <c r="P269" s="101" t="s">
        <v>6</v>
      </c>
      <c r="Q269" s="101" t="s">
        <v>403</v>
      </c>
    </row>
    <row r="270" spans="1:17" ht="16.5" thickBot="1">
      <c r="A270" s="12"/>
      <c r="B270" s="12"/>
      <c r="C270" s="12"/>
      <c r="D270" s="13"/>
      <c r="E270" s="12">
        <v>2007</v>
      </c>
      <c r="F270" s="331">
        <v>2008</v>
      </c>
      <c r="G270" s="14" t="s">
        <v>405</v>
      </c>
      <c r="H270" s="14" t="s">
        <v>405</v>
      </c>
      <c r="I270" s="14" t="s">
        <v>433</v>
      </c>
      <c r="J270" s="14" t="s">
        <v>11</v>
      </c>
      <c r="K270" s="14" t="s">
        <v>405</v>
      </c>
      <c r="L270" s="105" t="s">
        <v>402</v>
      </c>
      <c r="M270" s="105" t="s">
        <v>402</v>
      </c>
      <c r="N270" s="105" t="s">
        <v>440</v>
      </c>
      <c r="O270" s="105" t="s">
        <v>440</v>
      </c>
      <c r="P270" s="105" t="s">
        <v>441</v>
      </c>
      <c r="Q270" s="105"/>
    </row>
    <row r="271" spans="1:17" ht="15.75" customHeight="1" thickTop="1">
      <c r="A271" s="15">
        <v>100</v>
      </c>
      <c r="B271" s="15"/>
      <c r="C271" s="15"/>
      <c r="D271" s="16" t="s">
        <v>160</v>
      </c>
      <c r="E271" s="16"/>
      <c r="F271" s="16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17"/>
    </row>
    <row r="272" spans="1:17" ht="15">
      <c r="A272" s="18"/>
      <c r="B272" s="18"/>
      <c r="C272" s="18"/>
      <c r="D272" s="18"/>
      <c r="E272" s="18"/>
      <c r="F272" s="18"/>
      <c r="G272" s="239"/>
      <c r="H272" s="239"/>
      <c r="I272" s="239"/>
      <c r="J272" s="228"/>
      <c r="K272" s="228"/>
      <c r="L272" s="239"/>
      <c r="M272" s="239"/>
      <c r="N272" s="239"/>
      <c r="O272" s="239"/>
      <c r="P272" s="239"/>
      <c r="Q272" s="31"/>
    </row>
    <row r="273" spans="1:17" ht="15">
      <c r="A273" s="18"/>
      <c r="B273" s="18"/>
      <c r="C273" s="18">
        <v>1361</v>
      </c>
      <c r="D273" s="18" t="s">
        <v>14</v>
      </c>
      <c r="E273" s="228">
        <v>564.7</v>
      </c>
      <c r="F273" s="228">
        <v>667.8</v>
      </c>
      <c r="G273" s="239">
        <v>500</v>
      </c>
      <c r="H273" s="239">
        <v>500</v>
      </c>
      <c r="I273" s="239">
        <v>642.1</v>
      </c>
      <c r="J273" s="228">
        <f>(I273/H273)*100</f>
        <v>128.42</v>
      </c>
      <c r="K273" s="228">
        <v>700</v>
      </c>
      <c r="L273" s="239">
        <v>500</v>
      </c>
      <c r="M273" s="239">
        <v>700</v>
      </c>
      <c r="N273" s="239">
        <v>500</v>
      </c>
      <c r="O273" s="239">
        <v>500</v>
      </c>
      <c r="P273" s="239">
        <v>500</v>
      </c>
      <c r="Q273" s="31"/>
    </row>
    <row r="274" spans="1:17" ht="15.75">
      <c r="A274" s="37"/>
      <c r="B274" s="37"/>
      <c r="C274" s="18">
        <v>4216</v>
      </c>
      <c r="D274" s="18" t="s">
        <v>161</v>
      </c>
      <c r="E274" s="228">
        <v>0</v>
      </c>
      <c r="F274" s="228">
        <v>0</v>
      </c>
      <c r="G274" s="228">
        <v>1000</v>
      </c>
      <c r="H274" s="228">
        <v>1000</v>
      </c>
      <c r="I274" s="228">
        <v>1100</v>
      </c>
      <c r="J274" s="228">
        <f>(I274/H274)*100</f>
        <v>110.00000000000001</v>
      </c>
      <c r="K274" s="228">
        <v>1100</v>
      </c>
      <c r="L274" s="228">
        <v>0</v>
      </c>
      <c r="M274" s="228">
        <v>0</v>
      </c>
      <c r="N274" s="228">
        <v>0</v>
      </c>
      <c r="O274" s="228">
        <v>0</v>
      </c>
      <c r="P274" s="228">
        <v>0</v>
      </c>
      <c r="Q274" s="19"/>
    </row>
    <row r="275" spans="1:17" ht="15">
      <c r="A275" s="18"/>
      <c r="B275" s="18">
        <v>2169</v>
      </c>
      <c r="C275" s="18">
        <v>2210</v>
      </c>
      <c r="D275" s="18" t="s">
        <v>151</v>
      </c>
      <c r="E275" s="228">
        <v>98</v>
      </c>
      <c r="F275" s="228">
        <v>342</v>
      </c>
      <c r="G275" s="239">
        <v>360</v>
      </c>
      <c r="H275" s="239">
        <v>360</v>
      </c>
      <c r="I275" s="239">
        <v>400</v>
      </c>
      <c r="J275" s="228">
        <f>(I275/H275)*100</f>
        <v>111.11111111111111</v>
      </c>
      <c r="K275" s="228">
        <v>450</v>
      </c>
      <c r="L275" s="239">
        <v>200</v>
      </c>
      <c r="M275" s="239">
        <v>500</v>
      </c>
      <c r="N275" s="239">
        <v>200</v>
      </c>
      <c r="O275" s="239">
        <v>200</v>
      </c>
      <c r="P275" s="239">
        <v>200</v>
      </c>
      <c r="Q275" s="31"/>
    </row>
    <row r="276" spans="1:17" ht="15">
      <c r="A276" s="20"/>
      <c r="B276" s="20">
        <v>3635</v>
      </c>
      <c r="C276" s="20">
        <v>3122</v>
      </c>
      <c r="D276" s="18" t="s">
        <v>162</v>
      </c>
      <c r="E276" s="228">
        <v>0</v>
      </c>
      <c r="F276" s="228">
        <v>7.1</v>
      </c>
      <c r="G276" s="239">
        <v>40</v>
      </c>
      <c r="H276" s="239">
        <v>40</v>
      </c>
      <c r="I276" s="239">
        <v>25.9</v>
      </c>
      <c r="J276" s="228">
        <f>(I276/H276)*100</f>
        <v>64.75</v>
      </c>
      <c r="K276" s="228">
        <v>47</v>
      </c>
      <c r="L276" s="239">
        <v>0</v>
      </c>
      <c r="M276" s="239">
        <v>0</v>
      </c>
      <c r="N276" s="239">
        <v>0</v>
      </c>
      <c r="O276" s="239">
        <v>0</v>
      </c>
      <c r="P276" s="239">
        <v>0</v>
      </c>
      <c r="Q276" s="31"/>
    </row>
    <row r="277" spans="1:17" ht="15">
      <c r="A277" s="20"/>
      <c r="B277" s="20">
        <v>6171</v>
      </c>
      <c r="C277" s="20">
        <v>2324</v>
      </c>
      <c r="D277" s="18" t="s">
        <v>152</v>
      </c>
      <c r="E277" s="249">
        <v>18.5</v>
      </c>
      <c r="F277" s="249">
        <v>12</v>
      </c>
      <c r="G277" s="269">
        <v>0</v>
      </c>
      <c r="H277" s="269">
        <v>0</v>
      </c>
      <c r="I277" s="239">
        <v>1</v>
      </c>
      <c r="J277" s="228" t="e">
        <f>(I277/H277)*100</f>
        <v>#DIV/0!</v>
      </c>
      <c r="K277" s="249">
        <v>1</v>
      </c>
      <c r="L277" s="239">
        <v>0</v>
      </c>
      <c r="M277" s="269">
        <v>0</v>
      </c>
      <c r="N277" s="239">
        <v>0</v>
      </c>
      <c r="O277" s="269">
        <v>0</v>
      </c>
      <c r="P277" s="269">
        <v>0</v>
      </c>
      <c r="Q277" s="54"/>
    </row>
    <row r="278" spans="1:17" ht="15" customHeight="1" thickBot="1">
      <c r="A278" s="44"/>
      <c r="B278" s="44"/>
      <c r="C278" s="44"/>
      <c r="D278" s="44"/>
      <c r="E278" s="260"/>
      <c r="F278" s="260"/>
      <c r="G278" s="260"/>
      <c r="H278" s="260"/>
      <c r="I278" s="260"/>
      <c r="J278" s="260"/>
      <c r="K278" s="260"/>
      <c r="L278" s="260"/>
      <c r="M278" s="260"/>
      <c r="N278" s="260"/>
      <c r="O278" s="260"/>
      <c r="P278" s="260"/>
      <c r="Q278" s="45"/>
    </row>
    <row r="279" spans="1:17" s="26" customFormat="1" ht="21.75" customHeight="1" thickBot="1" thickTop="1">
      <c r="A279" s="46"/>
      <c r="B279" s="46"/>
      <c r="C279" s="46"/>
      <c r="D279" s="47" t="s">
        <v>163</v>
      </c>
      <c r="E279" s="261">
        <f>SUM(E271:E277)</f>
        <v>681.2</v>
      </c>
      <c r="F279" s="261">
        <f>SUM(F271:F277)</f>
        <v>1028.9</v>
      </c>
      <c r="G279" s="261">
        <f>SUM(G271:G277)</f>
        <v>1900</v>
      </c>
      <c r="H279" s="261">
        <f>SUM(H271:H277)</f>
        <v>1900</v>
      </c>
      <c r="I279" s="261">
        <f>SUM(I271:I277)</f>
        <v>2169</v>
      </c>
      <c r="J279" s="231">
        <f>(I279/H279)*100</f>
        <v>114.15789473684211</v>
      </c>
      <c r="K279" s="261">
        <f aca="true" t="shared" si="15" ref="K279:P279">SUM(K271:K277)</f>
        <v>2298</v>
      </c>
      <c r="L279" s="261">
        <f t="shared" si="15"/>
        <v>700</v>
      </c>
      <c r="M279" s="261">
        <f t="shared" si="15"/>
        <v>1200</v>
      </c>
      <c r="N279" s="261">
        <f t="shared" si="15"/>
        <v>700</v>
      </c>
      <c r="O279" s="261">
        <f t="shared" si="15"/>
        <v>700</v>
      </c>
      <c r="P279" s="261">
        <f t="shared" si="15"/>
        <v>700</v>
      </c>
      <c r="Q279" s="48"/>
    </row>
    <row r="280" spans="1:17" ht="15" customHeight="1">
      <c r="A280" s="34"/>
      <c r="B280" s="34"/>
      <c r="C280" s="34"/>
      <c r="D280" s="5"/>
      <c r="E280" s="5"/>
      <c r="F280" s="5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35"/>
    </row>
    <row r="281" spans="1:17" ht="15" customHeight="1">
      <c r="A281" s="34"/>
      <c r="B281" s="34"/>
      <c r="C281" s="34"/>
      <c r="D281" s="5"/>
      <c r="E281" s="5"/>
      <c r="F281" s="5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35"/>
    </row>
    <row r="282" spans="1:17" ht="15" customHeight="1" hidden="1">
      <c r="A282" s="34"/>
      <c r="B282" s="34"/>
      <c r="C282" s="34"/>
      <c r="D282" s="5"/>
      <c r="E282" s="5"/>
      <c r="F282" s="5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35"/>
    </row>
    <row r="283" spans="1:17" ht="15" customHeight="1" thickBot="1">
      <c r="A283" s="34"/>
      <c r="B283" s="34"/>
      <c r="C283" s="34"/>
      <c r="D283" s="5"/>
      <c r="E283" s="5"/>
      <c r="F283" s="5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35"/>
    </row>
    <row r="284" spans="1:17" ht="15.75">
      <c r="A284" s="9" t="s">
        <v>2</v>
      </c>
      <c r="B284" s="9" t="s">
        <v>3</v>
      </c>
      <c r="C284" s="9" t="s">
        <v>4</v>
      </c>
      <c r="D284" s="10" t="s">
        <v>5</v>
      </c>
      <c r="E284" s="9" t="s">
        <v>7</v>
      </c>
      <c r="F284" s="10" t="s">
        <v>7</v>
      </c>
      <c r="G284" s="9" t="s">
        <v>499</v>
      </c>
      <c r="H284" s="9" t="s">
        <v>500</v>
      </c>
      <c r="I284" s="11" t="s">
        <v>7</v>
      </c>
      <c r="J284" s="9" t="s">
        <v>8</v>
      </c>
      <c r="K284" s="9" t="s">
        <v>404</v>
      </c>
      <c r="L284" s="101" t="s">
        <v>410</v>
      </c>
      <c r="M284" s="101" t="s">
        <v>6</v>
      </c>
      <c r="N284" s="101" t="s">
        <v>410</v>
      </c>
      <c r="O284" s="101" t="s">
        <v>6</v>
      </c>
      <c r="P284" s="101" t="s">
        <v>6</v>
      </c>
      <c r="Q284" s="101" t="s">
        <v>403</v>
      </c>
    </row>
    <row r="285" spans="1:17" ht="15.75" customHeight="1" thickBot="1">
      <c r="A285" s="12"/>
      <c r="B285" s="12"/>
      <c r="C285" s="12"/>
      <c r="D285" s="13"/>
      <c r="E285" s="12">
        <v>2007</v>
      </c>
      <c r="F285" s="331">
        <v>2008</v>
      </c>
      <c r="G285" s="14" t="s">
        <v>405</v>
      </c>
      <c r="H285" s="14" t="s">
        <v>405</v>
      </c>
      <c r="I285" s="14" t="s">
        <v>433</v>
      </c>
      <c r="J285" s="14" t="s">
        <v>11</v>
      </c>
      <c r="K285" s="14" t="s">
        <v>405</v>
      </c>
      <c r="L285" s="105" t="s">
        <v>402</v>
      </c>
      <c r="M285" s="105" t="s">
        <v>402</v>
      </c>
      <c r="N285" s="105" t="s">
        <v>440</v>
      </c>
      <c r="O285" s="105" t="s">
        <v>440</v>
      </c>
      <c r="P285" s="105" t="s">
        <v>441</v>
      </c>
      <c r="Q285" s="105"/>
    </row>
    <row r="286" spans="1:17" ht="15.75" customHeight="1" thickTop="1">
      <c r="A286" s="73">
        <v>110</v>
      </c>
      <c r="B286" s="37"/>
      <c r="C286" s="37"/>
      <c r="D286" s="37" t="s">
        <v>164</v>
      </c>
      <c r="E286" s="16"/>
      <c r="F286" s="16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17"/>
    </row>
    <row r="287" spans="1:17" ht="15.75">
      <c r="A287" s="73"/>
      <c r="B287" s="37"/>
      <c r="C287" s="37"/>
      <c r="D287" s="37"/>
      <c r="E287" s="16"/>
      <c r="F287" s="16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17"/>
    </row>
    <row r="288" spans="1:17" ht="15">
      <c r="A288" s="18"/>
      <c r="B288" s="18"/>
      <c r="C288" s="18">
        <v>1111</v>
      </c>
      <c r="D288" s="18" t="s">
        <v>165</v>
      </c>
      <c r="E288" s="237">
        <v>48435.4</v>
      </c>
      <c r="F288" s="237">
        <v>47310.2</v>
      </c>
      <c r="G288" s="257">
        <v>48000</v>
      </c>
      <c r="H288" s="257">
        <v>48000</v>
      </c>
      <c r="I288" s="257">
        <v>33682.3</v>
      </c>
      <c r="J288" s="228">
        <f aca="true" t="shared" si="16" ref="J288:J313">(I288/H288)*100</f>
        <v>70.17145833333333</v>
      </c>
      <c r="K288" s="237">
        <v>43000</v>
      </c>
      <c r="L288" s="257">
        <v>48000</v>
      </c>
      <c r="M288" s="258">
        <v>45000</v>
      </c>
      <c r="N288" s="257">
        <v>48000</v>
      </c>
      <c r="O288" s="258">
        <v>46000</v>
      </c>
      <c r="P288" s="258">
        <v>48000</v>
      </c>
      <c r="Q288" s="43"/>
    </row>
    <row r="289" spans="1:17" ht="15">
      <c r="A289" s="18"/>
      <c r="B289" s="18"/>
      <c r="C289" s="18">
        <v>1112</v>
      </c>
      <c r="D289" s="18" t="s">
        <v>166</v>
      </c>
      <c r="E289" s="237">
        <v>16338.2</v>
      </c>
      <c r="F289" s="237">
        <v>17799.5</v>
      </c>
      <c r="G289" s="255">
        <v>17500</v>
      </c>
      <c r="H289" s="255">
        <v>17500</v>
      </c>
      <c r="I289" s="255">
        <v>8382.5</v>
      </c>
      <c r="J289" s="228">
        <f t="shared" si="16"/>
        <v>47.9</v>
      </c>
      <c r="K289" s="237">
        <v>10500</v>
      </c>
      <c r="L289" s="255">
        <v>17500</v>
      </c>
      <c r="M289" s="255">
        <v>15500</v>
      </c>
      <c r="N289" s="255">
        <v>17500</v>
      </c>
      <c r="O289" s="255">
        <v>16000</v>
      </c>
      <c r="P289" s="255">
        <v>18000</v>
      </c>
      <c r="Q289" s="42"/>
    </row>
    <row r="290" spans="1:17" ht="15">
      <c r="A290" s="18"/>
      <c r="B290" s="18"/>
      <c r="C290" s="18">
        <v>1113</v>
      </c>
      <c r="D290" s="18" t="s">
        <v>167</v>
      </c>
      <c r="E290" s="237">
        <v>3000</v>
      </c>
      <c r="F290" s="237">
        <v>3736.9</v>
      </c>
      <c r="G290" s="255">
        <v>3300</v>
      </c>
      <c r="H290" s="255">
        <v>3300</v>
      </c>
      <c r="I290" s="255">
        <v>2708.1</v>
      </c>
      <c r="J290" s="228">
        <f t="shared" si="16"/>
        <v>82.06363636363636</v>
      </c>
      <c r="K290" s="237">
        <v>3450</v>
      </c>
      <c r="L290" s="255">
        <v>3300</v>
      </c>
      <c r="M290" s="255">
        <v>3300</v>
      </c>
      <c r="N290" s="255">
        <v>3300</v>
      </c>
      <c r="O290" s="255">
        <v>3500</v>
      </c>
      <c r="P290" s="255">
        <v>3800</v>
      </c>
      <c r="Q290" s="42"/>
    </row>
    <row r="291" spans="1:17" ht="15">
      <c r="A291" s="18"/>
      <c r="B291" s="18"/>
      <c r="C291" s="18">
        <v>1121</v>
      </c>
      <c r="D291" s="18" t="s">
        <v>168</v>
      </c>
      <c r="E291" s="237">
        <v>55000.5</v>
      </c>
      <c r="F291" s="237">
        <v>64851.7</v>
      </c>
      <c r="G291" s="255">
        <v>62000</v>
      </c>
      <c r="H291" s="255">
        <v>62000</v>
      </c>
      <c r="I291" s="255">
        <v>35222.5</v>
      </c>
      <c r="J291" s="228">
        <f t="shared" si="16"/>
        <v>56.810483870967744</v>
      </c>
      <c r="K291" s="237">
        <v>41000</v>
      </c>
      <c r="L291" s="255">
        <v>62000</v>
      </c>
      <c r="M291" s="255">
        <v>54000</v>
      </c>
      <c r="N291" s="255">
        <v>62000</v>
      </c>
      <c r="O291" s="255">
        <v>56000</v>
      </c>
      <c r="P291" s="255">
        <v>62000</v>
      </c>
      <c r="Q291" s="42"/>
    </row>
    <row r="292" spans="1:17" ht="15">
      <c r="A292" s="18"/>
      <c r="B292" s="18"/>
      <c r="C292" s="18">
        <v>1122</v>
      </c>
      <c r="D292" s="18" t="s">
        <v>169</v>
      </c>
      <c r="E292" s="237">
        <v>19405.2</v>
      </c>
      <c r="F292" s="237">
        <v>26418.2</v>
      </c>
      <c r="G292" s="257">
        <v>16200</v>
      </c>
      <c r="H292" s="257">
        <v>14770</v>
      </c>
      <c r="I292" s="257">
        <v>14769.9</v>
      </c>
      <c r="J292" s="228">
        <f t="shared" si="16"/>
        <v>99.99932295192959</v>
      </c>
      <c r="K292" s="237">
        <v>14770</v>
      </c>
      <c r="L292" s="257">
        <v>28750</v>
      </c>
      <c r="M292" s="258">
        <v>75300</v>
      </c>
      <c r="N292" s="257">
        <v>19000</v>
      </c>
      <c r="O292" s="258">
        <v>10500</v>
      </c>
      <c r="P292" s="258">
        <v>10000</v>
      </c>
      <c r="Q292" s="43"/>
    </row>
    <row r="293" spans="1:17" ht="15">
      <c r="A293" s="18"/>
      <c r="B293" s="18"/>
      <c r="C293" s="18">
        <v>1211</v>
      </c>
      <c r="D293" s="18" t="s">
        <v>170</v>
      </c>
      <c r="E293" s="237">
        <f>78215.2+34</f>
        <v>78249.2</v>
      </c>
      <c r="F293" s="237">
        <v>87527.3</v>
      </c>
      <c r="G293" s="257">
        <v>91000</v>
      </c>
      <c r="H293" s="257">
        <v>91000</v>
      </c>
      <c r="I293" s="257">
        <v>66933.8</v>
      </c>
      <c r="J293" s="228">
        <f t="shared" si="16"/>
        <v>73.55362637362639</v>
      </c>
      <c r="K293" s="237">
        <v>87000</v>
      </c>
      <c r="L293" s="257">
        <v>91000</v>
      </c>
      <c r="M293" s="258">
        <v>92000</v>
      </c>
      <c r="N293" s="257">
        <v>91000</v>
      </c>
      <c r="O293" s="258">
        <v>94000</v>
      </c>
      <c r="P293" s="258">
        <v>95000</v>
      </c>
      <c r="Q293" s="43"/>
    </row>
    <row r="294" spans="1:17" ht="15" hidden="1">
      <c r="A294" s="18"/>
      <c r="B294" s="18"/>
      <c r="C294" s="18">
        <v>1335</v>
      </c>
      <c r="D294" s="18" t="s">
        <v>171</v>
      </c>
      <c r="E294" s="237"/>
      <c r="F294" s="237"/>
      <c r="G294" s="257"/>
      <c r="H294" s="257"/>
      <c r="I294" s="257"/>
      <c r="J294" s="228" t="e">
        <f t="shared" si="16"/>
        <v>#DIV/0!</v>
      </c>
      <c r="K294" s="237"/>
      <c r="L294" s="257"/>
      <c r="M294" s="258"/>
      <c r="N294" s="257"/>
      <c r="O294" s="258"/>
      <c r="P294" s="258"/>
      <c r="Q294" s="43"/>
    </row>
    <row r="295" spans="1:17" ht="15" hidden="1">
      <c r="A295" s="18"/>
      <c r="B295" s="18"/>
      <c r="C295" s="18">
        <v>1219</v>
      </c>
      <c r="D295" s="18" t="s">
        <v>172</v>
      </c>
      <c r="E295" s="237"/>
      <c r="F295" s="237"/>
      <c r="G295" s="257"/>
      <c r="H295" s="257"/>
      <c r="I295" s="257"/>
      <c r="J295" s="228" t="e">
        <f t="shared" si="16"/>
        <v>#DIV/0!</v>
      </c>
      <c r="K295" s="237"/>
      <c r="L295" s="257"/>
      <c r="M295" s="258"/>
      <c r="N295" s="257"/>
      <c r="O295" s="258"/>
      <c r="P295" s="258"/>
      <c r="Q295" s="43"/>
    </row>
    <row r="296" spans="1:17" ht="15">
      <c r="A296" s="18"/>
      <c r="B296" s="18"/>
      <c r="C296" s="18">
        <v>1337</v>
      </c>
      <c r="D296" s="18" t="s">
        <v>173</v>
      </c>
      <c r="E296" s="237">
        <v>10586.6</v>
      </c>
      <c r="F296" s="237">
        <v>10191.8</v>
      </c>
      <c r="G296" s="255">
        <v>10300</v>
      </c>
      <c r="H296" s="255">
        <v>10300</v>
      </c>
      <c r="I296" s="255">
        <v>10236.9</v>
      </c>
      <c r="J296" s="228">
        <f t="shared" si="16"/>
        <v>99.38737864077669</v>
      </c>
      <c r="K296" s="237">
        <v>10900</v>
      </c>
      <c r="L296" s="255">
        <v>10300</v>
      </c>
      <c r="M296" s="255">
        <v>10300</v>
      </c>
      <c r="N296" s="255">
        <v>10300</v>
      </c>
      <c r="O296" s="255">
        <v>10300</v>
      </c>
      <c r="P296" s="255">
        <v>10300</v>
      </c>
      <c r="Q296" s="42"/>
    </row>
    <row r="297" spans="1:17" ht="15">
      <c r="A297" s="18"/>
      <c r="B297" s="18"/>
      <c r="C297" s="18">
        <v>1341</v>
      </c>
      <c r="D297" s="18" t="s">
        <v>174</v>
      </c>
      <c r="E297" s="228">
        <v>975</v>
      </c>
      <c r="F297" s="228">
        <v>956.5</v>
      </c>
      <c r="G297" s="270">
        <v>1000</v>
      </c>
      <c r="H297" s="270">
        <v>1000</v>
      </c>
      <c r="I297" s="270">
        <v>946.1</v>
      </c>
      <c r="J297" s="228">
        <f t="shared" si="16"/>
        <v>94.61</v>
      </c>
      <c r="K297" s="228">
        <v>950</v>
      </c>
      <c r="L297" s="270">
        <v>1000</v>
      </c>
      <c r="M297" s="271">
        <v>1000</v>
      </c>
      <c r="N297" s="270">
        <v>1000</v>
      </c>
      <c r="O297" s="271">
        <v>1000</v>
      </c>
      <c r="P297" s="271">
        <v>1000</v>
      </c>
      <c r="Q297" s="55"/>
    </row>
    <row r="298" spans="1:17" ht="15">
      <c r="A298" s="18"/>
      <c r="B298" s="18"/>
      <c r="C298" s="18">
        <v>1347</v>
      </c>
      <c r="D298" s="18" t="s">
        <v>175</v>
      </c>
      <c r="E298" s="228">
        <v>5175.2</v>
      </c>
      <c r="F298" s="228">
        <v>5060</v>
      </c>
      <c r="G298" s="270">
        <v>4700</v>
      </c>
      <c r="H298" s="270">
        <v>4700</v>
      </c>
      <c r="I298" s="270">
        <v>3909.8</v>
      </c>
      <c r="J298" s="228">
        <f t="shared" si="16"/>
        <v>83.1872340425532</v>
      </c>
      <c r="K298" s="228">
        <v>4600</v>
      </c>
      <c r="L298" s="270">
        <v>4500</v>
      </c>
      <c r="M298" s="271">
        <v>3600</v>
      </c>
      <c r="N298" s="270">
        <v>4500</v>
      </c>
      <c r="O298" s="271">
        <v>3200</v>
      </c>
      <c r="P298" s="271">
        <v>2800</v>
      </c>
      <c r="Q298" s="55"/>
    </row>
    <row r="299" spans="1:17" ht="15" hidden="1">
      <c r="A299" s="18"/>
      <c r="B299" s="18"/>
      <c r="C299" s="18">
        <v>1349</v>
      </c>
      <c r="D299" s="18" t="s">
        <v>176</v>
      </c>
      <c r="E299" s="237"/>
      <c r="F299" s="237"/>
      <c r="G299" s="257"/>
      <c r="H299" s="257"/>
      <c r="I299" s="257"/>
      <c r="J299" s="228" t="e">
        <f t="shared" si="16"/>
        <v>#DIV/0!</v>
      </c>
      <c r="K299" s="237"/>
      <c r="L299" s="257"/>
      <c r="M299" s="258"/>
      <c r="N299" s="257"/>
      <c r="O299" s="258"/>
      <c r="P299" s="258"/>
      <c r="Q299" s="43"/>
    </row>
    <row r="300" spans="1:17" ht="15">
      <c r="A300" s="18"/>
      <c r="B300" s="18"/>
      <c r="C300" s="18">
        <v>1351</v>
      </c>
      <c r="D300" s="18" t="s">
        <v>177</v>
      </c>
      <c r="E300" s="237">
        <v>3144.1</v>
      </c>
      <c r="F300" s="237">
        <v>2727</v>
      </c>
      <c r="G300" s="257">
        <v>2800</v>
      </c>
      <c r="H300" s="257">
        <v>2800</v>
      </c>
      <c r="I300" s="257">
        <v>2283.6</v>
      </c>
      <c r="J300" s="228">
        <f t="shared" si="16"/>
        <v>81.55714285714285</v>
      </c>
      <c r="K300" s="237">
        <v>2284</v>
      </c>
      <c r="L300" s="257">
        <v>2800</v>
      </c>
      <c r="M300" s="258">
        <v>1850</v>
      </c>
      <c r="N300" s="257">
        <v>2800</v>
      </c>
      <c r="O300" s="258">
        <v>1150</v>
      </c>
      <c r="P300" s="258">
        <v>1000</v>
      </c>
      <c r="Q300" s="43"/>
    </row>
    <row r="301" spans="1:17" ht="15">
      <c r="A301" s="18"/>
      <c r="B301" s="18"/>
      <c r="C301" s="18">
        <v>1361</v>
      </c>
      <c r="D301" s="18" t="s">
        <v>178</v>
      </c>
      <c r="E301" s="228">
        <v>4171.1</v>
      </c>
      <c r="F301" s="228">
        <v>4178.3</v>
      </c>
      <c r="G301" s="270">
        <v>3900</v>
      </c>
      <c r="H301" s="270">
        <v>3900</v>
      </c>
      <c r="I301" s="270">
        <v>1460</v>
      </c>
      <c r="J301" s="228">
        <f t="shared" si="16"/>
        <v>37.43589743589744</v>
      </c>
      <c r="K301" s="228">
        <v>2700</v>
      </c>
      <c r="L301" s="270">
        <v>3800</v>
      </c>
      <c r="M301" s="271">
        <v>2450</v>
      </c>
      <c r="N301" s="270">
        <v>3800</v>
      </c>
      <c r="O301" s="271">
        <v>2300</v>
      </c>
      <c r="P301" s="271">
        <v>2000</v>
      </c>
      <c r="Q301" s="55"/>
    </row>
    <row r="302" spans="1:17" ht="15">
      <c r="A302" s="18"/>
      <c r="B302" s="18"/>
      <c r="C302" s="18">
        <v>1511</v>
      </c>
      <c r="D302" s="18" t="s">
        <v>179</v>
      </c>
      <c r="E302" s="228">
        <v>14673.8</v>
      </c>
      <c r="F302" s="228">
        <v>14805</v>
      </c>
      <c r="G302" s="228">
        <v>14500</v>
      </c>
      <c r="H302" s="228">
        <v>14500</v>
      </c>
      <c r="I302" s="228">
        <v>9820.3</v>
      </c>
      <c r="J302" s="228">
        <f t="shared" si="16"/>
        <v>67.72620689655172</v>
      </c>
      <c r="K302" s="228">
        <v>14700</v>
      </c>
      <c r="L302" s="228">
        <v>14500</v>
      </c>
      <c r="M302" s="228">
        <v>25200</v>
      </c>
      <c r="N302" s="228">
        <v>14500</v>
      </c>
      <c r="O302" s="228">
        <v>26000</v>
      </c>
      <c r="P302" s="228">
        <v>26000</v>
      </c>
      <c r="Q302" s="19"/>
    </row>
    <row r="303" spans="1:17" ht="15" customHeight="1">
      <c r="A303" s="18"/>
      <c r="B303" s="18"/>
      <c r="C303" s="18">
        <v>2460</v>
      </c>
      <c r="D303" s="18" t="s">
        <v>180</v>
      </c>
      <c r="E303" s="228">
        <v>187.6</v>
      </c>
      <c r="F303" s="228">
        <v>79.1</v>
      </c>
      <c r="G303" s="228">
        <v>15</v>
      </c>
      <c r="H303" s="228">
        <v>15</v>
      </c>
      <c r="I303" s="228">
        <v>0</v>
      </c>
      <c r="J303" s="228">
        <f t="shared" si="16"/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228">
        <v>0</v>
      </c>
      <c r="Q303" s="19"/>
    </row>
    <row r="304" spans="1:17" ht="15">
      <c r="A304" s="18"/>
      <c r="B304" s="18"/>
      <c r="C304" s="18">
        <v>4112</v>
      </c>
      <c r="D304" s="18" t="s">
        <v>181</v>
      </c>
      <c r="E304" s="228">
        <v>43874.5</v>
      </c>
      <c r="F304" s="228">
        <v>45027.1</v>
      </c>
      <c r="G304" s="228">
        <v>46026.6</v>
      </c>
      <c r="H304" s="228">
        <v>46026.6</v>
      </c>
      <c r="I304" s="228">
        <v>34519.5</v>
      </c>
      <c r="J304" s="228">
        <f t="shared" si="16"/>
        <v>74.9990223044935</v>
      </c>
      <c r="K304" s="228">
        <v>46026</v>
      </c>
      <c r="L304" s="228">
        <v>46026.6</v>
      </c>
      <c r="M304" s="228">
        <v>46000</v>
      </c>
      <c r="N304" s="228">
        <v>46026.6</v>
      </c>
      <c r="O304" s="228">
        <v>46000</v>
      </c>
      <c r="P304" s="228">
        <v>46000</v>
      </c>
      <c r="Q304" s="19"/>
    </row>
    <row r="305" spans="1:17" ht="15">
      <c r="A305" s="18"/>
      <c r="B305" s="18">
        <v>3611</v>
      </c>
      <c r="C305" s="18">
        <v>2141</v>
      </c>
      <c r="D305" s="18" t="s">
        <v>182</v>
      </c>
      <c r="E305" s="228">
        <v>123.8</v>
      </c>
      <c r="F305" s="228">
        <v>49.8</v>
      </c>
      <c r="G305" s="228">
        <v>38</v>
      </c>
      <c r="H305" s="228">
        <v>38</v>
      </c>
      <c r="I305" s="228">
        <v>65.5</v>
      </c>
      <c r="J305" s="228">
        <f t="shared" si="16"/>
        <v>172.36842105263156</v>
      </c>
      <c r="K305" s="228">
        <v>66</v>
      </c>
      <c r="L305" s="228">
        <v>0</v>
      </c>
      <c r="M305" s="228">
        <v>0</v>
      </c>
      <c r="N305" s="228">
        <v>0</v>
      </c>
      <c r="O305" s="228">
        <v>0</v>
      </c>
      <c r="P305" s="228">
        <v>0</v>
      </c>
      <c r="Q305" s="19"/>
    </row>
    <row r="306" spans="1:17" ht="15" hidden="1">
      <c r="A306" s="18"/>
      <c r="B306" s="18">
        <v>3611</v>
      </c>
      <c r="C306" s="18">
        <v>2210</v>
      </c>
      <c r="D306" s="18" t="s">
        <v>183</v>
      </c>
      <c r="E306" s="228"/>
      <c r="F306" s="228"/>
      <c r="G306" s="228">
        <v>0</v>
      </c>
      <c r="H306" s="228">
        <v>0</v>
      </c>
      <c r="I306" s="228"/>
      <c r="J306" s="228" t="e">
        <f t="shared" si="16"/>
        <v>#DIV/0!</v>
      </c>
      <c r="K306" s="228"/>
      <c r="L306" s="228">
        <v>0</v>
      </c>
      <c r="M306" s="228"/>
      <c r="N306" s="228">
        <v>0</v>
      </c>
      <c r="O306" s="228"/>
      <c r="P306" s="228"/>
      <c r="Q306" s="19"/>
    </row>
    <row r="307" spans="1:17" ht="15" hidden="1">
      <c r="A307" s="18"/>
      <c r="B307" s="18">
        <v>6171</v>
      </c>
      <c r="C307" s="18">
        <v>2210</v>
      </c>
      <c r="D307" s="18" t="s">
        <v>184</v>
      </c>
      <c r="E307" s="228"/>
      <c r="F307" s="228"/>
      <c r="G307" s="228">
        <v>0</v>
      </c>
      <c r="H307" s="228">
        <v>0</v>
      </c>
      <c r="I307" s="228"/>
      <c r="J307" s="228" t="e">
        <f t="shared" si="16"/>
        <v>#DIV/0!</v>
      </c>
      <c r="K307" s="228"/>
      <c r="L307" s="228">
        <v>0</v>
      </c>
      <c r="M307" s="228"/>
      <c r="N307" s="228">
        <v>0</v>
      </c>
      <c r="O307" s="228"/>
      <c r="P307" s="228"/>
      <c r="Q307" s="19"/>
    </row>
    <row r="308" spans="1:17" ht="15">
      <c r="A308" s="18"/>
      <c r="B308" s="18">
        <v>6171</v>
      </c>
      <c r="C308" s="18">
        <v>2328</v>
      </c>
      <c r="D308" s="18" t="s">
        <v>185</v>
      </c>
      <c r="E308" s="228">
        <v>0</v>
      </c>
      <c r="F308" s="228">
        <v>2.8</v>
      </c>
      <c r="G308" s="228">
        <v>0</v>
      </c>
      <c r="H308" s="228">
        <v>0</v>
      </c>
      <c r="I308" s="228">
        <v>-2.9</v>
      </c>
      <c r="J308" s="228" t="e">
        <f t="shared" si="16"/>
        <v>#DIV/0!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228">
        <v>0</v>
      </c>
      <c r="Q308" s="19"/>
    </row>
    <row r="309" spans="1:17" ht="15">
      <c r="A309" s="18"/>
      <c r="B309" s="18">
        <v>6310</v>
      </c>
      <c r="C309" s="18">
        <v>2141</v>
      </c>
      <c r="D309" s="18" t="s">
        <v>186</v>
      </c>
      <c r="E309" s="228">
        <v>2562.6</v>
      </c>
      <c r="F309" s="228">
        <v>3349.6</v>
      </c>
      <c r="G309" s="228">
        <v>1000.4</v>
      </c>
      <c r="H309" s="228">
        <v>1000.4</v>
      </c>
      <c r="I309" s="228">
        <v>1545</v>
      </c>
      <c r="J309" s="228">
        <f t="shared" si="16"/>
        <v>154.43822471011597</v>
      </c>
      <c r="K309" s="228">
        <v>2150</v>
      </c>
      <c r="L309" s="228">
        <v>200</v>
      </c>
      <c r="M309" s="228">
        <v>500</v>
      </c>
      <c r="N309" s="228">
        <v>100</v>
      </c>
      <c r="O309" s="228">
        <v>250</v>
      </c>
      <c r="P309" s="228">
        <v>200</v>
      </c>
      <c r="Q309" s="19"/>
    </row>
    <row r="310" spans="1:17" ht="15" hidden="1">
      <c r="A310" s="18"/>
      <c r="B310" s="18">
        <v>6310</v>
      </c>
      <c r="C310" s="18">
        <v>2142</v>
      </c>
      <c r="D310" s="18" t="s">
        <v>187</v>
      </c>
      <c r="E310" s="241"/>
      <c r="F310" s="241"/>
      <c r="G310" s="241">
        <v>0</v>
      </c>
      <c r="H310" s="241">
        <v>0</v>
      </c>
      <c r="I310" s="228"/>
      <c r="J310" s="228" t="e">
        <f t="shared" si="16"/>
        <v>#DIV/0!</v>
      </c>
      <c r="K310" s="241"/>
      <c r="L310" s="241">
        <v>0</v>
      </c>
      <c r="M310" s="241"/>
      <c r="N310" s="241">
        <v>0</v>
      </c>
      <c r="O310" s="241"/>
      <c r="P310" s="228"/>
      <c r="Q310" s="50"/>
    </row>
    <row r="311" spans="1:17" ht="15" hidden="1">
      <c r="A311" s="18"/>
      <c r="B311" s="18">
        <v>3611</v>
      </c>
      <c r="C311" s="18">
        <v>2210</v>
      </c>
      <c r="D311" s="18" t="s">
        <v>188</v>
      </c>
      <c r="E311" s="241"/>
      <c r="F311" s="241"/>
      <c r="G311" s="241">
        <v>0</v>
      </c>
      <c r="H311" s="241">
        <v>0</v>
      </c>
      <c r="I311" s="228"/>
      <c r="J311" s="228" t="e">
        <f t="shared" si="16"/>
        <v>#DIV/0!</v>
      </c>
      <c r="K311" s="241"/>
      <c r="L311" s="241">
        <v>0</v>
      </c>
      <c r="M311" s="241"/>
      <c r="N311" s="241">
        <v>0</v>
      </c>
      <c r="O311" s="241"/>
      <c r="P311" s="228"/>
      <c r="Q311" s="50"/>
    </row>
    <row r="312" spans="1:17" ht="15" hidden="1">
      <c r="A312" s="18"/>
      <c r="B312" s="18">
        <v>6399</v>
      </c>
      <c r="C312" s="18">
        <v>2329</v>
      </c>
      <c r="D312" s="18" t="s">
        <v>189</v>
      </c>
      <c r="E312" s="241"/>
      <c r="F312" s="241"/>
      <c r="G312" s="241">
        <v>0</v>
      </c>
      <c r="H312" s="241">
        <v>0</v>
      </c>
      <c r="I312" s="228"/>
      <c r="J312" s="228" t="e">
        <f t="shared" si="16"/>
        <v>#DIV/0!</v>
      </c>
      <c r="K312" s="241"/>
      <c r="L312" s="241">
        <v>0</v>
      </c>
      <c r="M312" s="241"/>
      <c r="N312" s="241">
        <v>0</v>
      </c>
      <c r="O312" s="241"/>
      <c r="P312" s="228"/>
      <c r="Q312" s="50"/>
    </row>
    <row r="313" spans="1:17" ht="15">
      <c r="A313" s="18"/>
      <c r="B313" s="18">
        <v>6409</v>
      </c>
      <c r="C313" s="18">
        <v>2328</v>
      </c>
      <c r="D313" s="18" t="s">
        <v>190</v>
      </c>
      <c r="E313" s="241">
        <v>0</v>
      </c>
      <c r="F313" s="241">
        <v>0</v>
      </c>
      <c r="G313" s="241">
        <v>0</v>
      </c>
      <c r="H313" s="241">
        <v>0</v>
      </c>
      <c r="I313" s="228">
        <v>100</v>
      </c>
      <c r="J313" s="228" t="e">
        <f t="shared" si="16"/>
        <v>#DIV/0!</v>
      </c>
      <c r="K313" s="241">
        <v>0</v>
      </c>
      <c r="L313" s="241">
        <v>0</v>
      </c>
      <c r="M313" s="241">
        <v>0</v>
      </c>
      <c r="N313" s="241">
        <v>0</v>
      </c>
      <c r="O313" s="241">
        <v>0</v>
      </c>
      <c r="P313" s="228">
        <v>0</v>
      </c>
      <c r="Q313" s="50"/>
    </row>
    <row r="314" spans="1:17" ht="15.75" customHeight="1" thickBot="1">
      <c r="A314" s="44"/>
      <c r="B314" s="44"/>
      <c r="C314" s="44"/>
      <c r="D314" s="44" t="s">
        <v>494</v>
      </c>
      <c r="E314" s="260">
        <f>10.6+24.2</f>
        <v>34.8</v>
      </c>
      <c r="F314" s="260">
        <v>60</v>
      </c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56"/>
    </row>
    <row r="315" spans="1:17" s="26" customFormat="1" ht="21.75" customHeight="1" thickBot="1" thickTop="1">
      <c r="A315" s="46"/>
      <c r="B315" s="46"/>
      <c r="C315" s="46"/>
      <c r="D315" s="47" t="s">
        <v>191</v>
      </c>
      <c r="E315" s="261">
        <f>SUM(E288:E314)</f>
        <v>305937.6</v>
      </c>
      <c r="F315" s="261">
        <f>SUM(F288:F314)</f>
        <v>334130.7999999999</v>
      </c>
      <c r="G315" s="261">
        <f>SUM(G288:G314)</f>
        <v>322280</v>
      </c>
      <c r="H315" s="261">
        <f>SUM(H288:H314)</f>
        <v>320850</v>
      </c>
      <c r="I315" s="261">
        <f>SUM(I288:I314)</f>
        <v>226582.89999999997</v>
      </c>
      <c r="J315" s="231">
        <f>(I315/H315)*100</f>
        <v>70.61957300919431</v>
      </c>
      <c r="K315" s="261">
        <f>SUM(K288:K314)</f>
        <v>284096</v>
      </c>
      <c r="L315" s="261">
        <f>SUM(L288:L314)</f>
        <v>333676.6</v>
      </c>
      <c r="M315" s="261">
        <f>SUM(M288:M314)</f>
        <v>376000</v>
      </c>
      <c r="N315" s="261">
        <f>SUM(N288:N313)</f>
        <v>323826.6</v>
      </c>
      <c r="O315" s="261">
        <f>SUM(O288:O314)</f>
        <v>316200</v>
      </c>
      <c r="P315" s="261">
        <f>SUM(P288:P314)</f>
        <v>326100</v>
      </c>
      <c r="Q315" s="48"/>
    </row>
    <row r="316" spans="1:17" ht="15" customHeight="1">
      <c r="A316" s="34"/>
      <c r="B316" s="34"/>
      <c r="C316" s="34"/>
      <c r="D316" s="5"/>
      <c r="E316" s="5"/>
      <c r="F316" s="5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35"/>
    </row>
    <row r="317" spans="1:17" ht="15">
      <c r="A317" s="26"/>
      <c r="B317" s="34"/>
      <c r="C317" s="34"/>
      <c r="D317" s="34"/>
      <c r="E317" s="34"/>
      <c r="F317" s="34"/>
      <c r="G317" s="273"/>
      <c r="H317" s="273"/>
      <c r="I317" s="273"/>
      <c r="J317" s="273"/>
      <c r="K317" s="273"/>
      <c r="L317" s="273"/>
      <c r="M317" s="273"/>
      <c r="N317" s="273"/>
      <c r="O317" s="273"/>
      <c r="P317" s="273"/>
      <c r="Q317" s="57"/>
    </row>
    <row r="318" spans="1:17" ht="15">
      <c r="A318" s="26"/>
      <c r="B318" s="34"/>
      <c r="C318" s="34"/>
      <c r="D318" s="34"/>
      <c r="E318" s="34"/>
      <c r="F318" s="34"/>
      <c r="G318" s="273"/>
      <c r="H318" s="273"/>
      <c r="I318" s="250"/>
      <c r="J318" s="273"/>
      <c r="K318" s="273"/>
      <c r="L318" s="250"/>
      <c r="M318" s="273"/>
      <c r="N318" s="273"/>
      <c r="O318" s="273"/>
      <c r="P318" s="273"/>
      <c r="Q318" s="57"/>
    </row>
    <row r="319" spans="1:17" ht="15" customHeight="1" thickBot="1">
      <c r="A319" s="26"/>
      <c r="B319" s="34"/>
      <c r="C319" s="34"/>
      <c r="D319" s="34"/>
      <c r="E319" s="34"/>
      <c r="F319" s="34"/>
      <c r="G319" s="273"/>
      <c r="H319" s="273"/>
      <c r="I319" s="250"/>
      <c r="J319" s="273"/>
      <c r="K319" s="273"/>
      <c r="L319" s="250"/>
      <c r="M319" s="273"/>
      <c r="N319" s="273"/>
      <c r="O319" s="273"/>
      <c r="P319" s="273"/>
      <c r="Q319" s="57"/>
    </row>
    <row r="320" spans="1:17" ht="15.75">
      <c r="A320" s="9" t="s">
        <v>2</v>
      </c>
      <c r="B320" s="9" t="s">
        <v>3</v>
      </c>
      <c r="C320" s="9" t="s">
        <v>4</v>
      </c>
      <c r="D320" s="10" t="s">
        <v>5</v>
      </c>
      <c r="E320" s="9" t="s">
        <v>7</v>
      </c>
      <c r="F320" s="10" t="s">
        <v>7</v>
      </c>
      <c r="G320" s="9" t="s">
        <v>499</v>
      </c>
      <c r="H320" s="9" t="s">
        <v>500</v>
      </c>
      <c r="I320" s="11" t="s">
        <v>7</v>
      </c>
      <c r="J320" s="9" t="s">
        <v>8</v>
      </c>
      <c r="K320" s="9" t="s">
        <v>404</v>
      </c>
      <c r="L320" s="101" t="s">
        <v>410</v>
      </c>
      <c r="M320" s="101" t="s">
        <v>6</v>
      </c>
      <c r="N320" s="101" t="s">
        <v>410</v>
      </c>
      <c r="O320" s="101" t="s">
        <v>6</v>
      </c>
      <c r="P320" s="101" t="s">
        <v>6</v>
      </c>
      <c r="Q320" s="101" t="s">
        <v>403</v>
      </c>
    </row>
    <row r="321" spans="1:17" ht="16.5" customHeight="1" thickBot="1">
      <c r="A321" s="12"/>
      <c r="B321" s="12"/>
      <c r="C321" s="12"/>
      <c r="D321" s="13"/>
      <c r="E321" s="12">
        <v>2007</v>
      </c>
      <c r="F321" s="331">
        <v>2008</v>
      </c>
      <c r="G321" s="14" t="s">
        <v>405</v>
      </c>
      <c r="H321" s="14" t="s">
        <v>405</v>
      </c>
      <c r="I321" s="14" t="s">
        <v>433</v>
      </c>
      <c r="J321" s="14" t="s">
        <v>11</v>
      </c>
      <c r="K321" s="14" t="s">
        <v>405</v>
      </c>
      <c r="L321" s="105" t="s">
        <v>402</v>
      </c>
      <c r="M321" s="105" t="s">
        <v>402</v>
      </c>
      <c r="N321" s="105" t="s">
        <v>440</v>
      </c>
      <c r="O321" s="105" t="s">
        <v>440</v>
      </c>
      <c r="P321" s="105" t="s">
        <v>441</v>
      </c>
      <c r="Q321" s="105"/>
    </row>
    <row r="322" spans="1:17" ht="16.5" customHeight="1" thickTop="1">
      <c r="A322" s="15">
        <v>120</v>
      </c>
      <c r="B322" s="15"/>
      <c r="C322" s="15"/>
      <c r="D322" s="58" t="s">
        <v>389</v>
      </c>
      <c r="E322" s="58"/>
      <c r="F322" s="58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17"/>
    </row>
    <row r="323" spans="1:17" ht="15.75">
      <c r="A323" s="37"/>
      <c r="B323" s="37"/>
      <c r="C323" s="37"/>
      <c r="D323" s="37"/>
      <c r="E323" s="37"/>
      <c r="F323" s="37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19"/>
    </row>
    <row r="324" spans="1:17" s="40" customFormat="1" ht="15" hidden="1">
      <c r="A324" s="38"/>
      <c r="B324" s="38">
        <v>3612</v>
      </c>
      <c r="C324" s="38">
        <v>2122</v>
      </c>
      <c r="D324" s="38" t="s">
        <v>192</v>
      </c>
      <c r="E324" s="38"/>
      <c r="F324" s="38"/>
      <c r="G324" s="228">
        <v>0</v>
      </c>
      <c r="H324" s="228">
        <v>0</v>
      </c>
      <c r="I324" s="228"/>
      <c r="J324" s="228" t="e">
        <f>(#REF!/H324)*100</f>
        <v>#REF!</v>
      </c>
      <c r="K324" s="228"/>
      <c r="L324" s="228"/>
      <c r="M324" s="228">
        <v>0</v>
      </c>
      <c r="N324" s="228"/>
      <c r="O324" s="228"/>
      <c r="P324" s="228"/>
      <c r="Q324" s="19">
        <v>0</v>
      </c>
    </row>
    <row r="325" spans="1:17" ht="15">
      <c r="A325" s="18"/>
      <c r="B325" s="18">
        <v>3612</v>
      </c>
      <c r="C325" s="18">
        <v>2132</v>
      </c>
      <c r="D325" s="18" t="s">
        <v>193</v>
      </c>
      <c r="E325" s="228">
        <v>21376.1</v>
      </c>
      <c r="F325" s="228">
        <v>27667.2</v>
      </c>
      <c r="G325" s="228">
        <v>27144</v>
      </c>
      <c r="H325" s="228">
        <v>27144</v>
      </c>
      <c r="I325" s="228">
        <v>24549.5</v>
      </c>
      <c r="J325" s="228">
        <f aca="true" t="shared" si="17" ref="J325:J342">(I325/H325)*100</f>
        <v>90.44171824344238</v>
      </c>
      <c r="K325" s="274">
        <f>1644+26500</f>
        <v>28144</v>
      </c>
      <c r="L325" s="228">
        <v>31644</v>
      </c>
      <c r="M325" s="274">
        <f>1644+9800</f>
        <v>11444</v>
      </c>
      <c r="N325" s="274">
        <v>35144</v>
      </c>
      <c r="O325" s="274">
        <f>7000+1644</f>
        <v>8644</v>
      </c>
      <c r="P325" s="274">
        <v>8644</v>
      </c>
      <c r="Q325" s="19"/>
    </row>
    <row r="326" spans="1:17" ht="15">
      <c r="A326" s="18"/>
      <c r="B326" s="18">
        <v>3612</v>
      </c>
      <c r="C326" s="18">
        <v>2310</v>
      </c>
      <c r="D326" s="18" t="s">
        <v>194</v>
      </c>
      <c r="E326" s="228">
        <v>0</v>
      </c>
      <c r="F326" s="228">
        <v>1.4</v>
      </c>
      <c r="G326" s="228">
        <v>0</v>
      </c>
      <c r="H326" s="228">
        <v>0</v>
      </c>
      <c r="I326" s="228">
        <v>9.5</v>
      </c>
      <c r="J326" s="228" t="e">
        <f t="shared" si="17"/>
        <v>#DIV/0!</v>
      </c>
      <c r="K326" s="274">
        <v>9</v>
      </c>
      <c r="L326" s="228">
        <v>0</v>
      </c>
      <c r="M326" s="274">
        <v>0</v>
      </c>
      <c r="N326" s="274">
        <v>0</v>
      </c>
      <c r="O326" s="274">
        <v>0</v>
      </c>
      <c r="P326" s="274">
        <v>0</v>
      </c>
      <c r="Q326" s="19"/>
    </row>
    <row r="327" spans="1:17" ht="15" hidden="1">
      <c r="A327" s="18"/>
      <c r="B327" s="18">
        <v>3612</v>
      </c>
      <c r="C327" s="18">
        <v>2324</v>
      </c>
      <c r="D327" s="18" t="s">
        <v>195</v>
      </c>
      <c r="E327" s="228"/>
      <c r="F327" s="228"/>
      <c r="G327" s="228"/>
      <c r="H327" s="228"/>
      <c r="I327" s="228"/>
      <c r="J327" s="228" t="e">
        <f t="shared" si="17"/>
        <v>#DIV/0!</v>
      </c>
      <c r="K327" s="228"/>
      <c r="L327" s="228"/>
      <c r="M327" s="228"/>
      <c r="N327" s="228"/>
      <c r="O327" s="228"/>
      <c r="P327" s="228"/>
      <c r="Q327" s="19"/>
    </row>
    <row r="328" spans="1:17" ht="15" hidden="1">
      <c r="A328" s="18"/>
      <c r="B328" s="18">
        <v>3612</v>
      </c>
      <c r="C328" s="18">
        <v>2329</v>
      </c>
      <c r="D328" s="18" t="s">
        <v>196</v>
      </c>
      <c r="E328" s="228"/>
      <c r="F328" s="228"/>
      <c r="G328" s="228"/>
      <c r="H328" s="228"/>
      <c r="I328" s="228"/>
      <c r="J328" s="228" t="e">
        <f t="shared" si="17"/>
        <v>#DIV/0!</v>
      </c>
      <c r="K328" s="228"/>
      <c r="L328" s="228"/>
      <c r="M328" s="228"/>
      <c r="N328" s="228"/>
      <c r="O328" s="228"/>
      <c r="P328" s="228"/>
      <c r="Q328" s="19"/>
    </row>
    <row r="329" spans="1:17" ht="15">
      <c r="A329" s="18"/>
      <c r="B329" s="18">
        <v>3612</v>
      </c>
      <c r="C329" s="18">
        <v>3112</v>
      </c>
      <c r="D329" s="18" t="s">
        <v>197</v>
      </c>
      <c r="E329" s="228">
        <v>1608.3</v>
      </c>
      <c r="F329" s="228">
        <v>10966.6</v>
      </c>
      <c r="G329" s="228">
        <v>143500</v>
      </c>
      <c r="H329" s="228">
        <f>193935+5500</f>
        <v>199435</v>
      </c>
      <c r="I329" s="228">
        <v>264019.3</v>
      </c>
      <c r="J329" s="228">
        <f t="shared" si="17"/>
        <v>132.38363376538723</v>
      </c>
      <c r="K329" s="228">
        <v>277000</v>
      </c>
      <c r="L329" s="228">
        <v>30000</v>
      </c>
      <c r="M329" s="228">
        <v>6000</v>
      </c>
      <c r="N329" s="228">
        <v>5000</v>
      </c>
      <c r="O329" s="228">
        <v>0</v>
      </c>
      <c r="P329" s="228">
        <v>0</v>
      </c>
      <c r="Q329" s="19"/>
    </row>
    <row r="330" spans="1:17" ht="15">
      <c r="A330" s="18"/>
      <c r="B330" s="18">
        <v>3613</v>
      </c>
      <c r="C330" s="18">
        <v>2132</v>
      </c>
      <c r="D330" s="18" t="s">
        <v>198</v>
      </c>
      <c r="E330" s="228">
        <v>7055.9</v>
      </c>
      <c r="F330" s="228">
        <v>5633.7</v>
      </c>
      <c r="G330" s="228">
        <v>5080</v>
      </c>
      <c r="H330" s="228">
        <v>5080</v>
      </c>
      <c r="I330" s="228">
        <v>4184.5</v>
      </c>
      <c r="J330" s="228">
        <f t="shared" si="17"/>
        <v>82.37204724409449</v>
      </c>
      <c r="K330" s="274">
        <v>5080</v>
      </c>
      <c r="L330" s="228">
        <v>3000</v>
      </c>
      <c r="M330" s="274">
        <v>4980</v>
      </c>
      <c r="N330" s="274">
        <v>2500</v>
      </c>
      <c r="O330" s="274">
        <v>4500</v>
      </c>
      <c r="P330" s="274">
        <v>4500</v>
      </c>
      <c r="Q330" s="19"/>
    </row>
    <row r="331" spans="1:17" ht="15">
      <c r="A331" s="20"/>
      <c r="B331" s="18">
        <v>3613</v>
      </c>
      <c r="C331" s="18">
        <v>3112</v>
      </c>
      <c r="D331" s="18" t="s">
        <v>199</v>
      </c>
      <c r="E331" s="228">
        <v>0.2</v>
      </c>
      <c r="F331" s="228">
        <v>0</v>
      </c>
      <c r="G331" s="228">
        <v>800</v>
      </c>
      <c r="H331" s="228">
        <v>800</v>
      </c>
      <c r="I331" s="228">
        <v>175</v>
      </c>
      <c r="J331" s="228">
        <f t="shared" si="17"/>
        <v>21.875</v>
      </c>
      <c r="K331" s="228">
        <v>800</v>
      </c>
      <c r="L331" s="228">
        <v>0</v>
      </c>
      <c r="M331" s="228">
        <v>10000</v>
      </c>
      <c r="N331" s="228">
        <v>0</v>
      </c>
      <c r="O331" s="228">
        <v>10000</v>
      </c>
      <c r="P331" s="228">
        <v>10000</v>
      </c>
      <c r="Q331" s="19"/>
    </row>
    <row r="332" spans="1:17" ht="15">
      <c r="A332" s="20"/>
      <c r="B332" s="18">
        <v>3634</v>
      </c>
      <c r="C332" s="18">
        <v>2132</v>
      </c>
      <c r="D332" s="18" t="s">
        <v>200</v>
      </c>
      <c r="E332" s="228">
        <v>4697.3</v>
      </c>
      <c r="F332" s="228">
        <v>4843.1</v>
      </c>
      <c r="G332" s="228">
        <v>4800</v>
      </c>
      <c r="H332" s="228">
        <v>4800</v>
      </c>
      <c r="I332" s="228">
        <v>5031.1</v>
      </c>
      <c r="J332" s="228">
        <f t="shared" si="17"/>
        <v>104.81458333333333</v>
      </c>
      <c r="K332" s="228">
        <v>5031.1</v>
      </c>
      <c r="L332" s="228">
        <v>4800</v>
      </c>
      <c r="M332" s="228">
        <f>4900+931</f>
        <v>5831</v>
      </c>
      <c r="N332" s="228">
        <v>4800</v>
      </c>
      <c r="O332" s="228">
        <v>5712</v>
      </c>
      <c r="P332" s="228">
        <v>5712</v>
      </c>
      <c r="Q332" s="19"/>
    </row>
    <row r="333" spans="1:17" ht="15">
      <c r="A333" s="20"/>
      <c r="B333" s="18">
        <v>3639</v>
      </c>
      <c r="C333" s="18">
        <v>2119</v>
      </c>
      <c r="D333" s="18" t="s">
        <v>201</v>
      </c>
      <c r="E333" s="228">
        <v>0</v>
      </c>
      <c r="F333" s="228">
        <v>0</v>
      </c>
      <c r="G333" s="228">
        <v>0</v>
      </c>
      <c r="H333" s="228">
        <v>0</v>
      </c>
      <c r="I333" s="228">
        <v>83.4</v>
      </c>
      <c r="J333" s="228" t="e">
        <f t="shared" si="17"/>
        <v>#DIV/0!</v>
      </c>
      <c r="K333" s="228">
        <v>70</v>
      </c>
      <c r="L333" s="228">
        <v>0</v>
      </c>
      <c r="M333" s="228">
        <v>10</v>
      </c>
      <c r="N333" s="228">
        <v>0</v>
      </c>
      <c r="O333" s="228">
        <v>0</v>
      </c>
      <c r="P333" s="228">
        <v>0</v>
      </c>
      <c r="Q333" s="19"/>
    </row>
    <row r="334" spans="1:17" ht="15">
      <c r="A334" s="18"/>
      <c r="B334" s="18">
        <v>3639</v>
      </c>
      <c r="C334" s="18">
        <v>2131</v>
      </c>
      <c r="D334" s="18" t="s">
        <v>202</v>
      </c>
      <c r="E334" s="228">
        <v>1748</v>
      </c>
      <c r="F334" s="228">
        <v>1616.5</v>
      </c>
      <c r="G334" s="228">
        <v>1250</v>
      </c>
      <c r="H334" s="228">
        <v>1250</v>
      </c>
      <c r="I334" s="228">
        <v>1202.9</v>
      </c>
      <c r="J334" s="228">
        <f t="shared" si="17"/>
        <v>96.232</v>
      </c>
      <c r="K334" s="228">
        <v>1400</v>
      </c>
      <c r="L334" s="228">
        <v>1200</v>
      </c>
      <c r="M334" s="228">
        <v>1350</v>
      </c>
      <c r="N334" s="228">
        <v>1200</v>
      </c>
      <c r="O334" s="228">
        <v>1200</v>
      </c>
      <c r="P334" s="228">
        <v>1200</v>
      </c>
      <c r="Q334" s="19"/>
    </row>
    <row r="335" spans="1:17" ht="15" hidden="1">
      <c r="A335" s="18"/>
      <c r="B335" s="18">
        <v>3639</v>
      </c>
      <c r="C335" s="18">
        <v>2132</v>
      </c>
      <c r="D335" s="18" t="s">
        <v>96</v>
      </c>
      <c r="E335" s="228"/>
      <c r="F335" s="228"/>
      <c r="G335" s="228">
        <v>0</v>
      </c>
      <c r="H335" s="228">
        <v>0</v>
      </c>
      <c r="I335" s="228"/>
      <c r="J335" s="228" t="e">
        <f t="shared" si="17"/>
        <v>#DIV/0!</v>
      </c>
      <c r="K335" s="228"/>
      <c r="L335" s="228"/>
      <c r="M335" s="228"/>
      <c r="N335" s="228"/>
      <c r="O335" s="228"/>
      <c r="P335" s="228"/>
      <c r="Q335" s="19"/>
    </row>
    <row r="336" spans="1:17" ht="15">
      <c r="A336" s="18"/>
      <c r="B336" s="18">
        <v>3639</v>
      </c>
      <c r="C336" s="18">
        <v>2324</v>
      </c>
      <c r="D336" s="18" t="s">
        <v>203</v>
      </c>
      <c r="E336" s="228">
        <v>431.5</v>
      </c>
      <c r="F336" s="228">
        <v>605.4</v>
      </c>
      <c r="G336" s="228">
        <v>2524</v>
      </c>
      <c r="H336" s="228">
        <v>7690</v>
      </c>
      <c r="I336" s="228">
        <v>8766.2</v>
      </c>
      <c r="J336" s="228">
        <f t="shared" si="17"/>
        <v>113.99479843953186</v>
      </c>
      <c r="K336" s="228">
        <v>11163</v>
      </c>
      <c r="L336" s="228">
        <v>1215</v>
      </c>
      <c r="M336" s="228">
        <v>600</v>
      </c>
      <c r="N336" s="228">
        <v>162</v>
      </c>
      <c r="O336" s="228">
        <v>12</v>
      </c>
      <c r="P336" s="228">
        <v>12</v>
      </c>
      <c r="Q336" s="19"/>
    </row>
    <row r="337" spans="1:17" ht="15">
      <c r="A337" s="18"/>
      <c r="B337" s="18">
        <v>3639</v>
      </c>
      <c r="C337" s="18">
        <v>3111</v>
      </c>
      <c r="D337" s="18" t="s">
        <v>204</v>
      </c>
      <c r="E337" s="228">
        <v>1868.4</v>
      </c>
      <c r="F337" s="228">
        <v>2610.3</v>
      </c>
      <c r="G337" s="228">
        <v>738</v>
      </c>
      <c r="H337" s="228">
        <v>738</v>
      </c>
      <c r="I337" s="228">
        <v>5650.9</v>
      </c>
      <c r="J337" s="228">
        <f t="shared" si="17"/>
        <v>765.7046070460705</v>
      </c>
      <c r="K337" s="228">
        <v>10500</v>
      </c>
      <c r="L337" s="228">
        <v>500</v>
      </c>
      <c r="M337" s="228">
        <v>12585</v>
      </c>
      <c r="N337" s="228">
        <v>400</v>
      </c>
      <c r="O337" s="228">
        <v>1000</v>
      </c>
      <c r="P337" s="228">
        <v>1000</v>
      </c>
      <c r="Q337" s="19"/>
    </row>
    <row r="338" spans="1:17" ht="15" hidden="1">
      <c r="A338" s="18"/>
      <c r="B338" s="18">
        <v>3639</v>
      </c>
      <c r="C338" s="18">
        <v>3112</v>
      </c>
      <c r="D338" s="18" t="s">
        <v>205</v>
      </c>
      <c r="E338" s="228"/>
      <c r="F338" s="228"/>
      <c r="G338" s="228">
        <v>0</v>
      </c>
      <c r="H338" s="228">
        <v>0</v>
      </c>
      <c r="I338" s="228"/>
      <c r="J338" s="228" t="e">
        <f t="shared" si="17"/>
        <v>#DIV/0!</v>
      </c>
      <c r="K338" s="228"/>
      <c r="L338" s="228"/>
      <c r="M338" s="228"/>
      <c r="N338" s="228"/>
      <c r="O338" s="228"/>
      <c r="P338" s="228"/>
      <c r="Q338" s="19"/>
    </row>
    <row r="339" spans="1:17" ht="15" hidden="1">
      <c r="A339" s="18"/>
      <c r="B339" s="18">
        <v>3612</v>
      </c>
      <c r="C339" s="18">
        <v>3111</v>
      </c>
      <c r="D339" s="18" t="s">
        <v>206</v>
      </c>
      <c r="E339" s="228"/>
      <c r="F339" s="228"/>
      <c r="G339" s="228"/>
      <c r="H339" s="228"/>
      <c r="I339" s="228"/>
      <c r="J339" s="228" t="e">
        <f t="shared" si="17"/>
        <v>#DIV/0!</v>
      </c>
      <c r="K339" s="228"/>
      <c r="L339" s="228"/>
      <c r="M339" s="228"/>
      <c r="N339" s="228"/>
      <c r="O339" s="228"/>
      <c r="P339" s="228"/>
      <c r="Q339" s="19"/>
    </row>
    <row r="340" spans="1:17" ht="15" hidden="1">
      <c r="A340" s="18"/>
      <c r="B340" s="18">
        <v>3639</v>
      </c>
      <c r="C340" s="18">
        <v>3112</v>
      </c>
      <c r="D340" s="18" t="s">
        <v>207</v>
      </c>
      <c r="E340" s="228"/>
      <c r="F340" s="228"/>
      <c r="G340" s="228"/>
      <c r="H340" s="228"/>
      <c r="I340" s="228"/>
      <c r="J340" s="228" t="e">
        <f t="shared" si="17"/>
        <v>#DIV/0!</v>
      </c>
      <c r="K340" s="228"/>
      <c r="L340" s="228"/>
      <c r="M340" s="228"/>
      <c r="N340" s="228"/>
      <c r="O340" s="228"/>
      <c r="P340" s="228"/>
      <c r="Q340" s="19"/>
    </row>
    <row r="341" spans="1:17" ht="15" hidden="1">
      <c r="A341" s="18"/>
      <c r="B341" s="18">
        <v>3639</v>
      </c>
      <c r="C341" s="18">
        <v>3113</v>
      </c>
      <c r="D341" s="18" t="s">
        <v>208</v>
      </c>
      <c r="E341" s="228"/>
      <c r="F341" s="228"/>
      <c r="G341" s="228"/>
      <c r="H341" s="228"/>
      <c r="I341" s="228"/>
      <c r="J341" s="228" t="e">
        <f t="shared" si="17"/>
        <v>#DIV/0!</v>
      </c>
      <c r="K341" s="228"/>
      <c r="L341" s="228"/>
      <c r="M341" s="228"/>
      <c r="N341" s="228"/>
      <c r="O341" s="228"/>
      <c r="P341" s="228"/>
      <c r="Q341" s="19"/>
    </row>
    <row r="342" spans="1:17" ht="15" customHeight="1">
      <c r="A342" s="27"/>
      <c r="B342" s="27">
        <v>3639</v>
      </c>
      <c r="C342" s="27">
        <v>3119</v>
      </c>
      <c r="D342" s="27" t="s">
        <v>209</v>
      </c>
      <c r="E342" s="237">
        <v>0</v>
      </c>
      <c r="F342" s="237">
        <v>17720.3</v>
      </c>
      <c r="G342" s="228">
        <v>7200</v>
      </c>
      <c r="H342" s="228">
        <v>7200</v>
      </c>
      <c r="I342" s="228">
        <v>3000</v>
      </c>
      <c r="J342" s="228">
        <f t="shared" si="17"/>
        <v>41.66666666666667</v>
      </c>
      <c r="K342" s="228">
        <v>7200</v>
      </c>
      <c r="L342" s="228">
        <v>7200</v>
      </c>
      <c r="M342" s="228">
        <v>7200</v>
      </c>
      <c r="N342" s="228">
        <v>7200</v>
      </c>
      <c r="O342" s="228">
        <v>7200</v>
      </c>
      <c r="P342" s="228">
        <v>7200</v>
      </c>
      <c r="Q342" s="19"/>
    </row>
    <row r="343" spans="1:17" ht="15" hidden="1">
      <c r="A343" s="27"/>
      <c r="B343" s="27">
        <v>6171</v>
      </c>
      <c r="C343" s="27">
        <v>2131</v>
      </c>
      <c r="D343" s="27" t="s">
        <v>95</v>
      </c>
      <c r="E343" s="237"/>
      <c r="F343" s="237"/>
      <c r="G343" s="228"/>
      <c r="H343" s="228"/>
      <c r="I343" s="228"/>
      <c r="J343" s="228"/>
      <c r="K343" s="228"/>
      <c r="L343" s="228"/>
      <c r="M343" s="228"/>
      <c r="N343" s="228"/>
      <c r="O343" s="228"/>
      <c r="P343" s="228"/>
      <c r="Q343" s="19"/>
    </row>
    <row r="344" spans="1:17" ht="15" hidden="1">
      <c r="A344" s="18"/>
      <c r="B344" s="18">
        <v>6171</v>
      </c>
      <c r="C344" s="18">
        <v>2324</v>
      </c>
      <c r="D344" s="18" t="s">
        <v>210</v>
      </c>
      <c r="E344" s="228"/>
      <c r="F344" s="228"/>
      <c r="G344" s="228"/>
      <c r="H344" s="228"/>
      <c r="I344" s="228"/>
      <c r="J344" s="228"/>
      <c r="K344" s="228"/>
      <c r="L344" s="228"/>
      <c r="M344" s="228"/>
      <c r="N344" s="228"/>
      <c r="O344" s="228"/>
      <c r="P344" s="228"/>
      <c r="Q344" s="19"/>
    </row>
    <row r="345" spans="1:17" ht="15" hidden="1">
      <c r="A345" s="18"/>
      <c r="B345" s="18"/>
      <c r="C345" s="18"/>
      <c r="D345" s="18"/>
      <c r="E345" s="228"/>
      <c r="F345" s="228"/>
      <c r="G345" s="228"/>
      <c r="H345" s="228"/>
      <c r="I345" s="228"/>
      <c r="J345" s="228"/>
      <c r="K345" s="228"/>
      <c r="L345" s="228"/>
      <c r="M345" s="228"/>
      <c r="N345" s="228"/>
      <c r="O345" s="228"/>
      <c r="P345" s="228"/>
      <c r="Q345" s="19"/>
    </row>
    <row r="346" spans="1:17" ht="15.75" customHeight="1" thickBot="1">
      <c r="A346" s="59"/>
      <c r="B346" s="59"/>
      <c r="C346" s="59"/>
      <c r="D346" s="59" t="s">
        <v>494</v>
      </c>
      <c r="E346" s="275">
        <f>600+317.3</f>
        <v>917.3</v>
      </c>
      <c r="F346" s="275">
        <v>43.1</v>
      </c>
      <c r="G346" s="275"/>
      <c r="H346" s="275"/>
      <c r="I346" s="275"/>
      <c r="J346" s="275"/>
      <c r="K346" s="275"/>
      <c r="L346" s="275"/>
      <c r="M346" s="275"/>
      <c r="N346" s="275"/>
      <c r="O346" s="275"/>
      <c r="P346" s="275"/>
      <c r="Q346" s="60"/>
    </row>
    <row r="347" spans="1:17" s="26" customFormat="1" ht="22.5" customHeight="1" thickBot="1" thickTop="1">
      <c r="A347" s="46"/>
      <c r="B347" s="46"/>
      <c r="C347" s="46"/>
      <c r="D347" s="47" t="s">
        <v>211</v>
      </c>
      <c r="E347" s="261">
        <f>SUM(E323:E346)</f>
        <v>39703</v>
      </c>
      <c r="F347" s="261">
        <f>SUM(F323:F346)</f>
        <v>71707.6</v>
      </c>
      <c r="G347" s="261">
        <f>SUM(G323:G346)</f>
        <v>193036</v>
      </c>
      <c r="H347" s="261">
        <f>SUM(H323:H346)</f>
        <v>254137</v>
      </c>
      <c r="I347" s="261">
        <f>SUM(I323:I346)</f>
        <v>316672.30000000005</v>
      </c>
      <c r="J347" s="231">
        <f>(I347/H347)*100</f>
        <v>124.60692461152844</v>
      </c>
      <c r="K347" s="261">
        <f aca="true" t="shared" si="18" ref="K347:P347">SUM(K323:K346)</f>
        <v>346397.1</v>
      </c>
      <c r="L347" s="261">
        <f t="shared" si="18"/>
        <v>79559</v>
      </c>
      <c r="M347" s="261">
        <f t="shared" si="18"/>
        <v>60000</v>
      </c>
      <c r="N347" s="261">
        <f t="shared" si="18"/>
        <v>56406</v>
      </c>
      <c r="O347" s="261">
        <f t="shared" si="18"/>
        <v>38268</v>
      </c>
      <c r="P347" s="261">
        <f t="shared" si="18"/>
        <v>38268</v>
      </c>
      <c r="Q347" s="48"/>
    </row>
    <row r="348" spans="1:17" ht="15" customHeight="1">
      <c r="A348" s="26"/>
      <c r="B348" s="34"/>
      <c r="C348" s="34"/>
      <c r="D348" s="34"/>
      <c r="E348" s="34"/>
      <c r="F348" s="34"/>
      <c r="G348" s="273"/>
      <c r="H348" s="273"/>
      <c r="I348" s="273"/>
      <c r="J348" s="273"/>
      <c r="K348" s="273"/>
      <c r="L348" s="273"/>
      <c r="M348" s="273"/>
      <c r="N348" s="273"/>
      <c r="O348" s="273"/>
      <c r="P348" s="273"/>
      <c r="Q348" s="57"/>
    </row>
    <row r="349" spans="1:17" ht="15" customHeight="1">
      <c r="A349" s="26"/>
      <c r="B349" s="34"/>
      <c r="C349" s="34"/>
      <c r="D349" s="34"/>
      <c r="E349" s="34"/>
      <c r="F349" s="34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57"/>
    </row>
    <row r="350" spans="1:17" ht="15" customHeight="1">
      <c r="A350" s="26"/>
      <c r="B350" s="34"/>
      <c r="C350" s="34"/>
      <c r="D350" s="34"/>
      <c r="E350" s="34"/>
      <c r="F350" s="34"/>
      <c r="G350" s="273"/>
      <c r="H350" s="273"/>
      <c r="I350" s="273"/>
      <c r="J350" s="273"/>
      <c r="K350" s="273"/>
      <c r="L350" s="273"/>
      <c r="M350" s="273"/>
      <c r="N350" s="273"/>
      <c r="O350" s="273"/>
      <c r="P350" s="273"/>
      <c r="Q350" s="57"/>
    </row>
    <row r="351" spans="1:17" ht="15" customHeight="1">
      <c r="A351" s="26"/>
      <c r="B351" s="34"/>
      <c r="C351" s="34"/>
      <c r="D351" s="34"/>
      <c r="E351" s="34"/>
      <c r="F351" s="34"/>
      <c r="G351" s="273"/>
      <c r="H351" s="273"/>
      <c r="I351" s="273"/>
      <c r="J351" s="273"/>
      <c r="K351" s="273"/>
      <c r="L351" s="273"/>
      <c r="M351" s="273"/>
      <c r="N351" s="273"/>
      <c r="O351" s="273"/>
      <c r="P351" s="273"/>
      <c r="Q351" s="57"/>
    </row>
    <row r="352" spans="1:17" ht="15" customHeight="1">
      <c r="A352" s="26"/>
      <c r="B352" s="34"/>
      <c r="C352" s="34"/>
      <c r="D352" s="34"/>
      <c r="E352" s="34"/>
      <c r="F352" s="34"/>
      <c r="G352" s="273"/>
      <c r="H352" s="273"/>
      <c r="I352" s="273"/>
      <c r="J352" s="273"/>
      <c r="K352" s="273"/>
      <c r="L352" s="273"/>
      <c r="M352" s="273"/>
      <c r="N352" s="273"/>
      <c r="O352" s="273"/>
      <c r="P352" s="273"/>
      <c r="Q352" s="57"/>
    </row>
    <row r="353" spans="1:17" ht="15" customHeight="1">
      <c r="A353" s="26"/>
      <c r="B353" s="34"/>
      <c r="C353" s="34"/>
      <c r="D353" s="34"/>
      <c r="E353" s="34"/>
      <c r="F353" s="34"/>
      <c r="G353" s="273"/>
      <c r="H353" s="273"/>
      <c r="I353" s="273"/>
      <c r="J353" s="273"/>
      <c r="K353" s="273"/>
      <c r="L353" s="273"/>
      <c r="M353" s="273"/>
      <c r="N353" s="273"/>
      <c r="O353" s="273"/>
      <c r="P353" s="273"/>
      <c r="Q353" s="57"/>
    </row>
    <row r="354" spans="1:17" ht="15" customHeight="1">
      <c r="A354" s="26"/>
      <c r="B354" s="34"/>
      <c r="C354" s="34"/>
      <c r="D354" s="34"/>
      <c r="E354" s="34"/>
      <c r="F354" s="34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57"/>
    </row>
    <row r="355" spans="1:17" ht="15" customHeight="1">
      <c r="A355" s="26"/>
      <c r="B355" s="34"/>
      <c r="C355" s="34"/>
      <c r="D355" s="34"/>
      <c r="E355" s="34"/>
      <c r="F355" s="34"/>
      <c r="G355" s="273"/>
      <c r="H355" s="273"/>
      <c r="I355" s="273"/>
      <c r="J355" s="273"/>
      <c r="K355" s="273"/>
      <c r="L355" s="273"/>
      <c r="M355" s="273"/>
      <c r="N355" s="273"/>
      <c r="O355" s="273"/>
      <c r="P355" s="312" t="s">
        <v>485</v>
      </c>
      <c r="Q355" s="57"/>
    </row>
    <row r="356" spans="1:17" ht="15" customHeight="1">
      <c r="A356" s="26"/>
      <c r="B356" s="34"/>
      <c r="C356" s="34"/>
      <c r="D356" s="34"/>
      <c r="E356" s="34"/>
      <c r="F356" s="34"/>
      <c r="G356" s="273"/>
      <c r="H356" s="273"/>
      <c r="I356" s="273"/>
      <c r="J356" s="273"/>
      <c r="K356" s="273"/>
      <c r="L356" s="273"/>
      <c r="M356" s="273"/>
      <c r="N356" s="273"/>
      <c r="O356" s="273"/>
      <c r="P356" s="273"/>
      <c r="Q356" s="57"/>
    </row>
    <row r="357" spans="1:17" ht="15" customHeight="1">
      <c r="A357" s="26"/>
      <c r="B357" s="34"/>
      <c r="C357" s="34"/>
      <c r="D357" s="34"/>
      <c r="E357" s="34"/>
      <c r="F357" s="34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57"/>
    </row>
    <row r="358" spans="1:17" ht="15" customHeight="1" hidden="1" thickBot="1">
      <c r="A358" s="26"/>
      <c r="B358" s="34"/>
      <c r="C358" s="34"/>
      <c r="D358" s="34"/>
      <c r="E358" s="34"/>
      <c r="F358" s="34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57"/>
    </row>
    <row r="359" spans="1:17" ht="15.75" hidden="1">
      <c r="A359" s="9" t="s">
        <v>2</v>
      </c>
      <c r="B359" s="9" t="s">
        <v>3</v>
      </c>
      <c r="C359" s="9" t="s">
        <v>4</v>
      </c>
      <c r="D359" s="10" t="s">
        <v>5</v>
      </c>
      <c r="E359" s="313" t="s">
        <v>6</v>
      </c>
      <c r="F359" s="10" t="s">
        <v>6</v>
      </c>
      <c r="G359" s="233" t="s">
        <v>6</v>
      </c>
      <c r="H359" s="233" t="s">
        <v>6</v>
      </c>
      <c r="I359" s="233" t="s">
        <v>7</v>
      </c>
      <c r="J359" s="233" t="s">
        <v>8</v>
      </c>
      <c r="K359" s="233" t="s">
        <v>404</v>
      </c>
      <c r="L359" s="234" t="s">
        <v>410</v>
      </c>
      <c r="M359" s="234" t="s">
        <v>411</v>
      </c>
      <c r="N359" s="234" t="s">
        <v>410</v>
      </c>
      <c r="O359" s="234" t="s">
        <v>411</v>
      </c>
      <c r="P359" s="234" t="s">
        <v>6</v>
      </c>
      <c r="Q359" s="101" t="s">
        <v>403</v>
      </c>
    </row>
    <row r="360" spans="1:17" ht="16.5" hidden="1" thickBot="1">
      <c r="A360" s="12"/>
      <c r="B360" s="12"/>
      <c r="C360" s="12"/>
      <c r="D360" s="13"/>
      <c r="E360" s="330">
        <v>2007</v>
      </c>
      <c r="F360" s="331">
        <v>2008</v>
      </c>
      <c r="G360" s="235" t="s">
        <v>9</v>
      </c>
      <c r="H360" s="235" t="s">
        <v>10</v>
      </c>
      <c r="I360" s="235" t="s">
        <v>433</v>
      </c>
      <c r="J360" s="235" t="s">
        <v>11</v>
      </c>
      <c r="K360" s="235" t="s">
        <v>405</v>
      </c>
      <c r="L360" s="236" t="s">
        <v>402</v>
      </c>
      <c r="M360" s="236" t="s">
        <v>402</v>
      </c>
      <c r="N360" s="236" t="s">
        <v>440</v>
      </c>
      <c r="O360" s="236" t="s">
        <v>440</v>
      </c>
      <c r="P360" s="236" t="s">
        <v>441</v>
      </c>
      <c r="Q360" s="105"/>
    </row>
    <row r="361" spans="1:17" ht="16.5" hidden="1" thickTop="1">
      <c r="A361" s="15">
        <v>8888</v>
      </c>
      <c r="B361" s="15"/>
      <c r="C361" s="15"/>
      <c r="D361" s="16"/>
      <c r="E361" s="16"/>
      <c r="F361" s="16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17"/>
    </row>
    <row r="362" spans="1:17" ht="15" hidden="1">
      <c r="A362" s="18"/>
      <c r="B362" s="18">
        <v>6171</v>
      </c>
      <c r="C362" s="18">
        <v>2329</v>
      </c>
      <c r="D362" s="18" t="s">
        <v>212</v>
      </c>
      <c r="E362" s="18">
        <v>0</v>
      </c>
      <c r="F362" s="18">
        <v>0</v>
      </c>
      <c r="G362" s="228">
        <v>0</v>
      </c>
      <c r="H362" s="228">
        <v>0</v>
      </c>
      <c r="I362" s="228">
        <v>-344.7</v>
      </c>
      <c r="J362" s="228" t="e">
        <f>(I362/H362)*100</f>
        <v>#DIV/0!</v>
      </c>
      <c r="K362" s="228">
        <v>0</v>
      </c>
      <c r="L362" s="228">
        <v>0</v>
      </c>
      <c r="M362" s="228">
        <v>0</v>
      </c>
      <c r="N362" s="228">
        <v>0</v>
      </c>
      <c r="O362" s="228">
        <v>0</v>
      </c>
      <c r="P362" s="228">
        <v>0</v>
      </c>
      <c r="Q362" s="19"/>
    </row>
    <row r="363" spans="1:17" ht="15" hidden="1">
      <c r="A363" s="18"/>
      <c r="B363" s="18"/>
      <c r="C363" s="18"/>
      <c r="D363" s="18" t="s">
        <v>213</v>
      </c>
      <c r="E363" s="18"/>
      <c r="F363" s="18"/>
      <c r="G363" s="228"/>
      <c r="H363" s="228"/>
      <c r="I363" s="228"/>
      <c r="J363" s="228"/>
      <c r="K363" s="228"/>
      <c r="L363" s="228"/>
      <c r="M363" s="228"/>
      <c r="N363" s="228"/>
      <c r="O363" s="228"/>
      <c r="P363" s="228"/>
      <c r="Q363" s="19"/>
    </row>
    <row r="364" spans="1:17" ht="15.75" hidden="1" thickBot="1">
      <c r="A364" s="44"/>
      <c r="B364" s="44"/>
      <c r="C364" s="44"/>
      <c r="D364" s="44" t="s">
        <v>214</v>
      </c>
      <c r="E364" s="44"/>
      <c r="F364" s="44"/>
      <c r="G364" s="260"/>
      <c r="H364" s="260"/>
      <c r="I364" s="260"/>
      <c r="J364" s="260"/>
      <c r="K364" s="260"/>
      <c r="L364" s="260"/>
      <c r="M364" s="260"/>
      <c r="N364" s="260"/>
      <c r="O364" s="260"/>
      <c r="P364" s="260"/>
      <c r="Q364" s="45"/>
    </row>
    <row r="365" spans="1:17" s="26" customFormat="1" ht="22.5" customHeight="1" hidden="1" thickBot="1" thickTop="1">
      <c r="A365" s="46"/>
      <c r="B365" s="46"/>
      <c r="C365" s="46"/>
      <c r="D365" s="47" t="s">
        <v>215</v>
      </c>
      <c r="E365" s="261">
        <f>SUM(E362:E363)</f>
        <v>0</v>
      </c>
      <c r="F365" s="261">
        <f>SUM(F362:F363)</f>
        <v>0</v>
      </c>
      <c r="G365" s="261">
        <f>SUM(G362:G363)</f>
        <v>0</v>
      </c>
      <c r="H365" s="261">
        <f>SUM(H362:H363)</f>
        <v>0</v>
      </c>
      <c r="I365" s="261">
        <f>SUM(I362:I363)</f>
        <v>-344.7</v>
      </c>
      <c r="J365" s="231" t="e">
        <f>(I365/H365)*100</f>
        <v>#DIV/0!</v>
      </c>
      <c r="K365" s="261">
        <f aca="true" t="shared" si="19" ref="K365:P365">SUM(K362:K363)</f>
        <v>0</v>
      </c>
      <c r="L365" s="261">
        <f t="shared" si="19"/>
        <v>0</v>
      </c>
      <c r="M365" s="261">
        <f t="shared" si="19"/>
        <v>0</v>
      </c>
      <c r="N365" s="261">
        <f t="shared" si="19"/>
        <v>0</v>
      </c>
      <c r="O365" s="261">
        <f t="shared" si="19"/>
        <v>0</v>
      </c>
      <c r="P365" s="261">
        <f t="shared" si="19"/>
        <v>0</v>
      </c>
      <c r="Q365" s="48"/>
    </row>
    <row r="366" spans="1:17" ht="15" hidden="1">
      <c r="A366" s="26"/>
      <c r="B366" s="34"/>
      <c r="C366" s="34"/>
      <c r="D366" s="34"/>
      <c r="E366" s="34"/>
      <c r="F366" s="34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57"/>
    </row>
    <row r="367" spans="1:17" ht="15">
      <c r="A367" s="26"/>
      <c r="B367" s="34"/>
      <c r="C367" s="34"/>
      <c r="D367" s="34"/>
      <c r="E367" s="34"/>
      <c r="F367" s="34"/>
      <c r="G367" s="273"/>
      <c r="H367" s="273"/>
      <c r="I367" s="273"/>
      <c r="J367" s="273"/>
      <c r="K367" s="273"/>
      <c r="L367" s="273"/>
      <c r="M367" s="273"/>
      <c r="N367" s="273"/>
      <c r="O367" s="273"/>
      <c r="P367" s="273"/>
      <c r="Q367" s="57"/>
    </row>
    <row r="368" spans="1:17" ht="15" hidden="1">
      <c r="A368" s="26"/>
      <c r="B368" s="34"/>
      <c r="C368" s="34"/>
      <c r="D368" s="34"/>
      <c r="E368" s="34"/>
      <c r="F368" s="34"/>
      <c r="G368" s="273"/>
      <c r="H368" s="273"/>
      <c r="I368" s="273"/>
      <c r="J368" s="273"/>
      <c r="K368" s="273"/>
      <c r="L368" s="273"/>
      <c r="M368" s="273"/>
      <c r="N368" s="273"/>
      <c r="O368" s="273"/>
      <c r="P368" s="273"/>
      <c r="Q368" s="57"/>
    </row>
    <row r="369" spans="1:17" ht="15" hidden="1">
      <c r="A369" s="26"/>
      <c r="B369" s="34"/>
      <c r="C369" s="34"/>
      <c r="D369" s="34"/>
      <c r="E369" s="34"/>
      <c r="F369" s="34"/>
      <c r="G369" s="273"/>
      <c r="H369" s="273"/>
      <c r="I369" s="265"/>
      <c r="J369" s="273"/>
      <c r="K369" s="273"/>
      <c r="L369" s="265"/>
      <c r="M369" s="273"/>
      <c r="N369" s="273"/>
      <c r="O369" s="273"/>
      <c r="P369" s="273"/>
      <c r="Q369" s="57"/>
    </row>
    <row r="370" spans="1:17" ht="15" hidden="1">
      <c r="A370" s="26"/>
      <c r="B370" s="34"/>
      <c r="C370" s="34"/>
      <c r="D370" s="34"/>
      <c r="E370" s="34"/>
      <c r="F370" s="34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57"/>
    </row>
    <row r="371" spans="1:17" ht="15" hidden="1">
      <c r="A371" s="26"/>
      <c r="B371" s="34"/>
      <c r="C371" s="34"/>
      <c r="D371" s="34"/>
      <c r="E371" s="34"/>
      <c r="F371" s="34"/>
      <c r="G371" s="273"/>
      <c r="H371" s="273"/>
      <c r="I371" s="273"/>
      <c r="J371" s="273"/>
      <c r="K371" s="273"/>
      <c r="L371" s="273"/>
      <c r="M371" s="273"/>
      <c r="N371" s="273"/>
      <c r="O371" s="273"/>
      <c r="P371" s="273"/>
      <c r="Q371" s="57"/>
    </row>
    <row r="372" spans="1:17" ht="15" customHeight="1" hidden="1">
      <c r="A372" s="26"/>
      <c r="B372" s="34"/>
      <c r="C372" s="34"/>
      <c r="D372" s="34"/>
      <c r="E372" s="34"/>
      <c r="F372" s="34"/>
      <c r="G372" s="273"/>
      <c r="H372" s="273"/>
      <c r="I372" s="273"/>
      <c r="J372" s="273"/>
      <c r="K372" s="273"/>
      <c r="L372" s="273"/>
      <c r="M372" s="273"/>
      <c r="N372" s="273"/>
      <c r="O372" s="273"/>
      <c r="P372" s="273"/>
      <c r="Q372" s="57"/>
    </row>
    <row r="373" spans="1:17" ht="15" customHeight="1" thickBot="1">
      <c r="A373" s="26"/>
      <c r="B373" s="26"/>
      <c r="C373" s="26"/>
      <c r="D373" s="26"/>
      <c r="E373" s="26"/>
      <c r="F373" s="26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6"/>
    </row>
    <row r="374" spans="1:17" ht="15.75">
      <c r="A374" s="9" t="s">
        <v>2</v>
      </c>
      <c r="B374" s="9" t="s">
        <v>3</v>
      </c>
      <c r="C374" s="61" t="s">
        <v>4</v>
      </c>
      <c r="D374" s="61" t="s">
        <v>5</v>
      </c>
      <c r="E374" s="9" t="s">
        <v>7</v>
      </c>
      <c r="F374" s="10" t="s">
        <v>7</v>
      </c>
      <c r="G374" s="9" t="s">
        <v>499</v>
      </c>
      <c r="H374" s="9" t="s">
        <v>500</v>
      </c>
      <c r="I374" s="11" t="s">
        <v>7</v>
      </c>
      <c r="J374" s="9" t="s">
        <v>8</v>
      </c>
      <c r="K374" s="9" t="s">
        <v>404</v>
      </c>
      <c r="L374" s="101" t="s">
        <v>410</v>
      </c>
      <c r="M374" s="101" t="s">
        <v>6</v>
      </c>
      <c r="N374" s="101" t="s">
        <v>410</v>
      </c>
      <c r="O374" s="101" t="s">
        <v>6</v>
      </c>
      <c r="P374" s="101" t="s">
        <v>6</v>
      </c>
      <c r="Q374" s="101" t="s">
        <v>403</v>
      </c>
    </row>
    <row r="375" spans="1:17" ht="15.75" customHeight="1" thickBot="1">
      <c r="A375" s="12"/>
      <c r="B375" s="62"/>
      <c r="C375" s="63"/>
      <c r="D375" s="63"/>
      <c r="E375" s="12">
        <v>2007</v>
      </c>
      <c r="F375" s="331">
        <v>2008</v>
      </c>
      <c r="G375" s="14" t="s">
        <v>405</v>
      </c>
      <c r="H375" s="14" t="s">
        <v>405</v>
      </c>
      <c r="I375" s="14" t="s">
        <v>433</v>
      </c>
      <c r="J375" s="14" t="s">
        <v>11</v>
      </c>
      <c r="K375" s="14" t="s">
        <v>405</v>
      </c>
      <c r="L375" s="105" t="s">
        <v>402</v>
      </c>
      <c r="M375" s="105" t="s">
        <v>402</v>
      </c>
      <c r="N375" s="105" t="s">
        <v>440</v>
      </c>
      <c r="O375" s="105" t="s">
        <v>440</v>
      </c>
      <c r="P375" s="105" t="s">
        <v>441</v>
      </c>
      <c r="Q375" s="105"/>
    </row>
    <row r="376" spans="1:17" s="26" customFormat="1" ht="30.75" customHeight="1" thickBot="1" thickTop="1">
      <c r="A376" s="47"/>
      <c r="B376" s="64"/>
      <c r="C376" s="65"/>
      <c r="D376" s="66" t="s">
        <v>216</v>
      </c>
      <c r="E376" s="276">
        <f>SUM(E47,E93,E150,E187,E213,E228,E243,E259,E279,E315,E347,E365)</f>
        <v>536694</v>
      </c>
      <c r="F376" s="276">
        <f>SUM(F47,F93,F150,F187,F213,F228,F243,F259,F279,F315,F347,F365)</f>
        <v>586395.6999999998</v>
      </c>
      <c r="G376" s="276">
        <f>SUM(G47,G93,G150,G187,G213,G228,G243,G259,G279,G315,G347,G365)</f>
        <v>660494</v>
      </c>
      <c r="H376" s="276">
        <f>SUM(H47,H93,H150,H187,H213,H228,H243,H259,H279,H315,H347,H365)</f>
        <v>748883.2</v>
      </c>
      <c r="I376" s="276">
        <f>SUM(I47,I93,I150,I187,I213,I228,I243,I259,I279,I315,I347,I365)</f>
        <v>682281.5000000001</v>
      </c>
      <c r="J376" s="276">
        <f>(I376/H376)*100</f>
        <v>91.1065303641476</v>
      </c>
      <c r="K376" s="276">
        <f aca="true" t="shared" si="20" ref="K376:P376">SUM(K47,K93,K150,K187,K213,K228,K243,K259,K279,K315,K347,K365)</f>
        <v>851299.5</v>
      </c>
      <c r="L376" s="276">
        <f t="shared" si="20"/>
        <v>552284.6</v>
      </c>
      <c r="M376" s="276">
        <f t="shared" si="20"/>
        <v>650602</v>
      </c>
      <c r="N376" s="276">
        <f t="shared" si="20"/>
        <v>519691.6</v>
      </c>
      <c r="O376" s="276">
        <f t="shared" si="20"/>
        <v>529821</v>
      </c>
      <c r="P376" s="276">
        <f t="shared" si="20"/>
        <v>540721</v>
      </c>
      <c r="Q376" s="67"/>
    </row>
    <row r="377" spans="1:17" ht="15" customHeight="1">
      <c r="A377" s="5"/>
      <c r="B377" s="68"/>
      <c r="C377" s="69"/>
      <c r="D377" s="70"/>
      <c r="E377" s="70"/>
      <c r="F377" s="70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71"/>
    </row>
    <row r="378" spans="1:17" ht="15" customHeight="1" hidden="1">
      <c r="A378" s="5"/>
      <c r="B378" s="68"/>
      <c r="C378" s="69"/>
      <c r="D378" s="70"/>
      <c r="E378" s="70"/>
      <c r="F378" s="70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71"/>
    </row>
    <row r="379" spans="1:17" ht="12.75" customHeight="1" hidden="1">
      <c r="A379" s="5"/>
      <c r="B379" s="68"/>
      <c r="C379" s="69"/>
      <c r="D379" s="70"/>
      <c r="E379" s="70"/>
      <c r="F379" s="70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71"/>
    </row>
    <row r="380" spans="1:17" ht="12.75" customHeight="1" hidden="1">
      <c r="A380" s="5"/>
      <c r="B380" s="68"/>
      <c r="C380" s="69"/>
      <c r="D380" s="70"/>
      <c r="E380" s="70"/>
      <c r="F380" s="70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71"/>
    </row>
    <row r="381" spans="1:17" ht="12.75" customHeight="1" hidden="1">
      <c r="A381" s="5"/>
      <c r="B381" s="68"/>
      <c r="C381" s="69"/>
      <c r="D381" s="70"/>
      <c r="E381" s="70"/>
      <c r="F381" s="70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71"/>
    </row>
    <row r="382" spans="1:17" ht="12.75" customHeight="1" hidden="1">
      <c r="A382" s="5"/>
      <c r="B382" s="68"/>
      <c r="C382" s="69"/>
      <c r="D382" s="70"/>
      <c r="E382" s="70"/>
      <c r="F382" s="70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71"/>
    </row>
    <row r="383" spans="1:17" ht="12.75" customHeight="1" hidden="1">
      <c r="A383" s="5"/>
      <c r="B383" s="68"/>
      <c r="C383" s="69"/>
      <c r="D383" s="70"/>
      <c r="E383" s="70"/>
      <c r="F383" s="70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71"/>
    </row>
    <row r="384" spans="1:17" ht="12.75" customHeight="1" hidden="1">
      <c r="A384" s="5"/>
      <c r="B384" s="68"/>
      <c r="C384" s="69"/>
      <c r="D384" s="70"/>
      <c r="E384" s="70"/>
      <c r="F384" s="70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71"/>
    </row>
    <row r="385" spans="1:17" ht="15" customHeight="1">
      <c r="A385" s="5"/>
      <c r="B385" s="68"/>
      <c r="C385" s="69"/>
      <c r="D385" s="70"/>
      <c r="E385" s="70"/>
      <c r="F385" s="70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71"/>
    </row>
    <row r="386" spans="1:17" ht="15" customHeight="1" thickBot="1">
      <c r="A386" s="5"/>
      <c r="B386" s="68"/>
      <c r="C386" s="69"/>
      <c r="D386" s="70"/>
      <c r="E386" s="70"/>
      <c r="F386" s="70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72"/>
    </row>
    <row r="387" spans="1:17" ht="15.75" customHeight="1">
      <c r="A387" s="9" t="s">
        <v>2</v>
      </c>
      <c r="B387" s="9" t="s">
        <v>3</v>
      </c>
      <c r="C387" s="9" t="s">
        <v>4</v>
      </c>
      <c r="D387" s="10" t="s">
        <v>5</v>
      </c>
      <c r="E387" s="9" t="s">
        <v>7</v>
      </c>
      <c r="F387" s="10" t="s">
        <v>7</v>
      </c>
      <c r="G387" s="9" t="s">
        <v>499</v>
      </c>
      <c r="H387" s="9" t="s">
        <v>500</v>
      </c>
      <c r="I387" s="11" t="s">
        <v>7</v>
      </c>
      <c r="J387" s="9" t="s">
        <v>8</v>
      </c>
      <c r="K387" s="9" t="s">
        <v>404</v>
      </c>
      <c r="L387" s="101" t="s">
        <v>410</v>
      </c>
      <c r="M387" s="101" t="s">
        <v>6</v>
      </c>
      <c r="N387" s="101" t="s">
        <v>410</v>
      </c>
      <c r="O387" s="101" t="s">
        <v>6</v>
      </c>
      <c r="P387" s="101" t="s">
        <v>6</v>
      </c>
      <c r="Q387" s="101" t="s">
        <v>403</v>
      </c>
    </row>
    <row r="388" spans="1:17" ht="15.75" customHeight="1" thickBot="1">
      <c r="A388" s="12"/>
      <c r="B388" s="12"/>
      <c r="C388" s="12"/>
      <c r="D388" s="13"/>
      <c r="E388" s="12">
        <v>2007</v>
      </c>
      <c r="F388" s="331">
        <v>2008</v>
      </c>
      <c r="G388" s="14" t="s">
        <v>405</v>
      </c>
      <c r="H388" s="14" t="s">
        <v>405</v>
      </c>
      <c r="I388" s="14" t="s">
        <v>433</v>
      </c>
      <c r="J388" s="14" t="s">
        <v>11</v>
      </c>
      <c r="K388" s="14" t="s">
        <v>405</v>
      </c>
      <c r="L388" s="105" t="s">
        <v>402</v>
      </c>
      <c r="M388" s="105" t="s">
        <v>402</v>
      </c>
      <c r="N388" s="105" t="s">
        <v>440</v>
      </c>
      <c r="O388" s="105" t="s">
        <v>440</v>
      </c>
      <c r="P388" s="105" t="s">
        <v>441</v>
      </c>
      <c r="Q388" s="105"/>
    </row>
    <row r="389" spans="1:17" ht="16.5" customHeight="1" thickTop="1">
      <c r="A389" s="73">
        <v>110</v>
      </c>
      <c r="B389" s="73"/>
      <c r="C389" s="73"/>
      <c r="D389" s="74" t="s">
        <v>217</v>
      </c>
      <c r="E389" s="37"/>
      <c r="F389" s="74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75"/>
    </row>
    <row r="390" spans="1:17" ht="14.25" customHeight="1">
      <c r="A390" s="76"/>
      <c r="B390" s="76"/>
      <c r="C390" s="76"/>
      <c r="D390" s="5"/>
      <c r="E390" s="368"/>
      <c r="F390" s="5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77"/>
    </row>
    <row r="391" spans="1:17" ht="15" customHeight="1">
      <c r="A391" s="18"/>
      <c r="B391" s="18"/>
      <c r="C391" s="18">
        <v>8115</v>
      </c>
      <c r="D391" s="316" t="s">
        <v>218</v>
      </c>
      <c r="E391" s="228">
        <v>-20736.4</v>
      </c>
      <c r="F391" s="228">
        <v>30045.7</v>
      </c>
      <c r="G391" s="280">
        <v>17780</v>
      </c>
      <c r="H391" s="280">
        <v>17780</v>
      </c>
      <c r="I391" s="280">
        <v>-181896.4</v>
      </c>
      <c r="J391" s="228">
        <f>(I391/H391)*100</f>
        <v>-1023.03937007874</v>
      </c>
      <c r="K391" s="237">
        <f>-120922.5+90</f>
        <v>-120832.5</v>
      </c>
      <c r="L391" s="280">
        <v>0</v>
      </c>
      <c r="M391" s="280">
        <v>6478</v>
      </c>
      <c r="N391" s="280">
        <v>0</v>
      </c>
      <c r="O391" s="280">
        <v>0</v>
      </c>
      <c r="P391" s="280">
        <v>0</v>
      </c>
      <c r="Q391" s="78"/>
    </row>
    <row r="392" spans="1:17" ht="15" hidden="1">
      <c r="A392" s="18"/>
      <c r="B392" s="18"/>
      <c r="C392" s="18">
        <v>8123</v>
      </c>
      <c r="D392" s="318" t="s">
        <v>219</v>
      </c>
      <c r="E392" s="229"/>
      <c r="F392" s="346"/>
      <c r="G392" s="229">
        <v>0</v>
      </c>
      <c r="H392" s="229">
        <v>0</v>
      </c>
      <c r="I392" s="229"/>
      <c r="J392" s="228" t="e">
        <f>(I392/H392)*100</f>
        <v>#DIV/0!</v>
      </c>
      <c r="K392" s="229"/>
      <c r="L392" s="229"/>
      <c r="M392" s="229"/>
      <c r="N392" s="229"/>
      <c r="O392" s="229"/>
      <c r="P392" s="229"/>
      <c r="Q392" s="21"/>
    </row>
    <row r="393" spans="1:17" ht="14.25" customHeight="1">
      <c r="A393" s="18"/>
      <c r="B393" s="18"/>
      <c r="C393" s="18">
        <v>8124</v>
      </c>
      <c r="D393" s="316" t="s">
        <v>220</v>
      </c>
      <c r="E393" s="228">
        <v>-16901.2</v>
      </c>
      <c r="F393" s="347">
        <v>-14985.6</v>
      </c>
      <c r="G393" s="228">
        <v>-18280</v>
      </c>
      <c r="H393" s="228">
        <v>-18280</v>
      </c>
      <c r="I393" s="228">
        <v>-13702</v>
      </c>
      <c r="J393" s="228">
        <f>(I393/H393)*100</f>
        <v>74.9562363238512</v>
      </c>
      <c r="K393" s="228">
        <v>-18280</v>
      </c>
      <c r="L393" s="228">
        <v>-18378</v>
      </c>
      <c r="M393" s="228">
        <v>-18378</v>
      </c>
      <c r="N393" s="228">
        <v>-17805</v>
      </c>
      <c r="O393" s="228">
        <v>-17805</v>
      </c>
      <c r="P393" s="228">
        <v>-17914</v>
      </c>
      <c r="Q393" s="19"/>
    </row>
    <row r="394" spans="1:17" ht="15" customHeight="1" thickBot="1">
      <c r="A394" s="59"/>
      <c r="B394" s="59"/>
      <c r="C394" s="59">
        <v>8902</v>
      </c>
      <c r="D394" s="366" t="s">
        <v>221</v>
      </c>
      <c r="E394" s="275">
        <v>-176.6</v>
      </c>
      <c r="F394" s="332">
        <v>19.1</v>
      </c>
      <c r="G394" s="275">
        <v>0</v>
      </c>
      <c r="H394" s="275">
        <v>0</v>
      </c>
      <c r="I394" s="275">
        <v>0</v>
      </c>
      <c r="J394" s="228" t="e">
        <f>(I394/H394)*100</f>
        <v>#DIV/0!</v>
      </c>
      <c r="K394" s="275">
        <v>0</v>
      </c>
      <c r="L394" s="275">
        <v>0</v>
      </c>
      <c r="M394" s="275">
        <v>0</v>
      </c>
      <c r="N394" s="275">
        <v>0</v>
      </c>
      <c r="O394" s="275">
        <v>0</v>
      </c>
      <c r="P394" s="275">
        <v>0</v>
      </c>
      <c r="Q394" s="60"/>
    </row>
    <row r="395" spans="1:17" s="26" customFormat="1" ht="22.5" customHeight="1" thickBot="1" thickTop="1">
      <c r="A395" s="46"/>
      <c r="B395" s="46"/>
      <c r="C395" s="46"/>
      <c r="D395" s="367" t="s">
        <v>222</v>
      </c>
      <c r="E395" s="261">
        <f>SUM(E391:E394)</f>
        <v>-37814.200000000004</v>
      </c>
      <c r="F395" s="261">
        <f>SUM(F391:F394)</f>
        <v>15079.2</v>
      </c>
      <c r="G395" s="261">
        <f>SUM(G391:G394)</f>
        <v>-500</v>
      </c>
      <c r="H395" s="261">
        <f>SUM(H391:H394)</f>
        <v>-500</v>
      </c>
      <c r="I395" s="261">
        <f>SUM(I391:I394)</f>
        <v>-195598.4</v>
      </c>
      <c r="J395" s="231">
        <f>(I395/H395)*100</f>
        <v>39119.68</v>
      </c>
      <c r="K395" s="261">
        <f aca="true" t="shared" si="21" ref="K395:P395">SUM(K391:K394)</f>
        <v>-139112.5</v>
      </c>
      <c r="L395" s="261">
        <f t="shared" si="21"/>
        <v>-18378</v>
      </c>
      <c r="M395" s="261">
        <f t="shared" si="21"/>
        <v>-11900</v>
      </c>
      <c r="N395" s="261">
        <f t="shared" si="21"/>
        <v>-17805</v>
      </c>
      <c r="O395" s="261">
        <f t="shared" si="21"/>
        <v>-17805</v>
      </c>
      <c r="P395" s="261">
        <f t="shared" si="21"/>
        <v>-17914</v>
      </c>
      <c r="Q395" s="48"/>
    </row>
    <row r="396" spans="1:17" s="26" customFormat="1" ht="22.5" customHeight="1">
      <c r="A396" s="34"/>
      <c r="B396" s="34"/>
      <c r="C396" s="34"/>
      <c r="D396" s="5"/>
      <c r="E396" s="5"/>
      <c r="F396" s="5"/>
      <c r="G396" s="79"/>
      <c r="H396" s="79"/>
      <c r="I396" s="79"/>
      <c r="J396" s="35"/>
      <c r="K396" s="35"/>
      <c r="L396" s="79"/>
      <c r="M396" s="79"/>
      <c r="N396" s="79"/>
      <c r="O396" s="79"/>
      <c r="P396" s="79"/>
      <c r="Q396" s="79"/>
    </row>
    <row r="397" spans="1:17" ht="15" customHeight="1">
      <c r="A397" s="26" t="s">
        <v>223</v>
      </c>
      <c r="B397" s="26"/>
      <c r="C397" s="26"/>
      <c r="D397" s="5"/>
      <c r="E397" s="5"/>
      <c r="F397" s="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</row>
    <row r="398" spans="1:17" ht="15">
      <c r="A398" s="34"/>
      <c r="B398" s="26"/>
      <c r="C398" s="34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1:17" ht="15">
      <c r="A399" s="34"/>
      <c r="B399" s="34"/>
      <c r="C399" s="34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1:17" ht="15" hidden="1">
      <c r="A400" s="80"/>
      <c r="B400" s="80"/>
      <c r="C400" s="80"/>
      <c r="D400" s="81" t="s">
        <v>224</v>
      </c>
      <c r="E400" s="81"/>
      <c r="F400" s="81"/>
      <c r="G400" s="82" t="e">
        <f>SUM(G13,G161,G162,G252,G273,G304,#REF!)</f>
        <v>#REF!</v>
      </c>
      <c r="H400" s="82" t="e">
        <f>SUM(H13,H161,H162,H252,H273,H304,#REF!)</f>
        <v>#REF!</v>
      </c>
      <c r="I400" s="82"/>
      <c r="J400" s="81"/>
      <c r="K400" s="81"/>
      <c r="L400" s="82"/>
      <c r="M400" s="82" t="e">
        <f>SUM(M13,M161,M162,M252,M273,M304,#REF!)</f>
        <v>#REF!</v>
      </c>
      <c r="N400" s="82"/>
      <c r="O400" s="82"/>
      <c r="P400" s="82"/>
      <c r="Q400" s="82" t="e">
        <f>SUM(Q13,Q161,Q162,Q252,Q273,Q304,#REF!)</f>
        <v>#REF!</v>
      </c>
    </row>
    <row r="401" spans="1:17" ht="15">
      <c r="A401" s="80"/>
      <c r="B401" s="80"/>
      <c r="C401" s="80"/>
      <c r="D401" s="83" t="s">
        <v>225</v>
      </c>
      <c r="E401" s="84">
        <f>E376+E395</f>
        <v>498879.8</v>
      </c>
      <c r="F401" s="84">
        <f>F376+F395</f>
        <v>601474.8999999998</v>
      </c>
      <c r="G401" s="84">
        <f>G376+G395</f>
        <v>659994</v>
      </c>
      <c r="H401" s="84">
        <f>H376+H395</f>
        <v>748383.2</v>
      </c>
      <c r="I401" s="84">
        <f>I376+I395</f>
        <v>486683.1000000001</v>
      </c>
      <c r="J401" s="19">
        <f>(I401/H401)*100</f>
        <v>65.03127007661318</v>
      </c>
      <c r="K401" s="84">
        <f aca="true" t="shared" si="22" ref="K401:Q401">K376+K395</f>
        <v>712187</v>
      </c>
      <c r="L401" s="84">
        <f t="shared" si="22"/>
        <v>533906.6</v>
      </c>
      <c r="M401" s="84">
        <f t="shared" si="22"/>
        <v>638702</v>
      </c>
      <c r="N401" s="84">
        <f t="shared" si="22"/>
        <v>501886.6</v>
      </c>
      <c r="O401" s="84">
        <f t="shared" si="22"/>
        <v>512016</v>
      </c>
      <c r="P401" s="84">
        <f t="shared" si="22"/>
        <v>522807</v>
      </c>
      <c r="Q401" s="84">
        <f t="shared" si="22"/>
        <v>0</v>
      </c>
    </row>
    <row r="402" spans="1:17" ht="15" hidden="1">
      <c r="A402" s="80"/>
      <c r="B402" s="80"/>
      <c r="C402" s="80"/>
      <c r="D402" s="83" t="s">
        <v>226</v>
      </c>
      <c r="E402" s="83"/>
      <c r="F402" s="83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</row>
    <row r="403" spans="1:17" ht="15" hidden="1">
      <c r="A403" s="80"/>
      <c r="B403" s="80"/>
      <c r="C403" s="80"/>
      <c r="D403" s="85" t="s">
        <v>227</v>
      </c>
      <c r="E403" s="85"/>
      <c r="F403" s="85"/>
      <c r="G403" s="86">
        <f>SUM(G276,G329,G331,G337,G342)</f>
        <v>152278</v>
      </c>
      <c r="H403" s="86">
        <f>SUM(H276,H329,H331,H337,H342)</f>
        <v>208213</v>
      </c>
      <c r="I403" s="86"/>
      <c r="J403" s="86"/>
      <c r="K403" s="86"/>
      <c r="L403" s="86"/>
      <c r="M403" s="86">
        <f>SUM(M276,M329,M331,M337,M342)</f>
        <v>35785</v>
      </c>
      <c r="N403" s="86"/>
      <c r="O403" s="86"/>
      <c r="P403" s="86"/>
      <c r="Q403" s="86">
        <f>SUM(Q276,Q329,Q331,Q337,Q342)</f>
        <v>0</v>
      </c>
    </row>
    <row r="404" spans="1:17" ht="15" hidden="1">
      <c r="A404" s="81"/>
      <c r="B404" s="81"/>
      <c r="C404" s="81"/>
      <c r="D404" s="81" t="s">
        <v>228</v>
      </c>
      <c r="E404" s="81"/>
      <c r="F404" s="81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</row>
    <row r="405" spans="1:17" ht="15" hidden="1">
      <c r="A405" s="81"/>
      <c r="B405" s="81"/>
      <c r="C405" s="81"/>
      <c r="D405" s="81" t="s">
        <v>227</v>
      </c>
      <c r="E405" s="81"/>
      <c r="F405" s="81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</row>
    <row r="406" spans="1:17" ht="15" hidden="1">
      <c r="A406" s="81"/>
      <c r="B406" s="81"/>
      <c r="C406" s="81"/>
      <c r="D406" s="81"/>
      <c r="E406" s="81"/>
      <c r="F406" s="81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</row>
    <row r="407" spans="1:17" ht="15" hidden="1">
      <c r="A407" s="81"/>
      <c r="B407" s="81"/>
      <c r="C407" s="81"/>
      <c r="D407" s="81" t="s">
        <v>229</v>
      </c>
      <c r="E407" s="81"/>
      <c r="F407" s="81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</row>
    <row r="408" spans="1:17" ht="15" hidden="1">
      <c r="A408" s="81"/>
      <c r="B408" s="81"/>
      <c r="C408" s="81"/>
      <c r="D408" s="81" t="s">
        <v>230</v>
      </c>
      <c r="E408" s="81"/>
      <c r="F408" s="81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</row>
    <row r="409" spans="1:17" ht="15" hidden="1">
      <c r="A409" s="81"/>
      <c r="B409" s="81"/>
      <c r="C409" s="81"/>
      <c r="D409" s="81" t="s">
        <v>231</v>
      </c>
      <c r="E409" s="81"/>
      <c r="F409" s="81"/>
      <c r="G409" s="82">
        <f>SUM(G9,G10,G101,G102,G103,G159,G198,G199,G200,G201,G202,G224,G236,G238,G274,G288,G289,G290,G291,G292,G293,G296,G297,G298,G300,G301,G302)</f>
        <v>289573</v>
      </c>
      <c r="H409" s="82">
        <f>SUM(H9,H10,H101,H102,H103,H159,H198,H199,H200,H201,H202,H224,H236,H238,H274,H288,H289,H290,H291,H292,H293,H296,H297,H298,H300,H301,H302)</f>
        <v>288196.6</v>
      </c>
      <c r="I409" s="82"/>
      <c r="J409" s="81"/>
      <c r="K409" s="81"/>
      <c r="L409" s="82"/>
      <c r="M409" s="82">
        <f>SUM(M9,M10,M101,M102,M103,M159,M198,M199,M200,M201,M202,M224,M236,M238,M274,M288,M289,M290,M291,M292,M293,M296,M297,M298,M300,M301,M302)</f>
        <v>342678</v>
      </c>
      <c r="N409" s="82"/>
      <c r="O409" s="82"/>
      <c r="P409" s="82"/>
      <c r="Q409" s="82">
        <f>SUM(Q9,Q10,Q101,Q102,Q103,Q159,Q198,Q199,Q200,Q201,Q202,Q224,Q236,Q238,Q274,Q288,Q289,Q290,Q291,Q292,Q293,Q296,Q297,Q298,Q300,Q301,Q302)</f>
        <v>0</v>
      </c>
    </row>
    <row r="410" spans="1:17" ht="15.75" hidden="1">
      <c r="A410" s="81"/>
      <c r="B410" s="81"/>
      <c r="C410" s="81"/>
      <c r="D410" s="88" t="s">
        <v>232</v>
      </c>
      <c r="E410" s="88"/>
      <c r="F410" s="88"/>
      <c r="G410" s="89">
        <v>0</v>
      </c>
      <c r="H410" s="89">
        <v>0</v>
      </c>
      <c r="I410" s="89"/>
      <c r="J410" s="81"/>
      <c r="K410" s="81"/>
      <c r="L410" s="89"/>
      <c r="M410" s="89">
        <v>0</v>
      </c>
      <c r="N410" s="89"/>
      <c r="O410" s="89"/>
      <c r="P410" s="89"/>
      <c r="Q410" s="89">
        <v>0</v>
      </c>
    </row>
    <row r="411" spans="1:17" ht="15" hidden="1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</row>
    <row r="412" spans="1:17" ht="15" hidden="1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</row>
    <row r="413" spans="1:17" ht="1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</row>
    <row r="414" spans="1:17" ht="1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ht="15.75" hidden="1">
      <c r="A415" s="81"/>
      <c r="B415" s="81"/>
      <c r="C415" s="81"/>
      <c r="D415" s="81" t="s">
        <v>228</v>
      </c>
      <c r="E415" s="81"/>
      <c r="F415" s="81"/>
      <c r="G415" s="89">
        <f aca="true" t="shared" si="23" ref="G415:P415">SUM(G9,G10,G101,G102,G103,G104,G159,G198,G199,G200,G201,G202,G224,G236,G237,G238,G273,G288,G289,G290,G291,G292,G293,G296,G297,G298,G300,G301,G302)</f>
        <v>289073</v>
      </c>
      <c r="H415" s="89">
        <f t="shared" si="23"/>
        <v>287696.6</v>
      </c>
      <c r="I415" s="89">
        <f t="shared" si="23"/>
        <v>200338.99999999997</v>
      </c>
      <c r="J415" s="89" t="e">
        <f t="shared" si="23"/>
        <v>#DIV/0!</v>
      </c>
      <c r="K415" s="89">
        <f t="shared" si="23"/>
        <v>248745.1</v>
      </c>
      <c r="L415" s="89">
        <f t="shared" si="23"/>
        <v>300011</v>
      </c>
      <c r="M415" s="89">
        <f t="shared" si="23"/>
        <v>343438</v>
      </c>
      <c r="N415" s="89">
        <f t="shared" si="23"/>
        <v>290471</v>
      </c>
      <c r="O415" s="89">
        <f t="shared" si="23"/>
        <v>282868</v>
      </c>
      <c r="P415" s="89">
        <f t="shared" si="23"/>
        <v>292818</v>
      </c>
      <c r="Q415" s="81"/>
    </row>
    <row r="416" spans="1:17" ht="15" hidden="1">
      <c r="A416" s="81"/>
      <c r="B416" s="81"/>
      <c r="C416" s="81"/>
      <c r="D416" s="81" t="s">
        <v>466</v>
      </c>
      <c r="E416" s="81"/>
      <c r="F416" s="81"/>
      <c r="G416" s="82">
        <f>SUM(G288,G289,G290,G291,G293)</f>
        <v>221800</v>
      </c>
      <c r="H416" s="82">
        <f aca="true" t="shared" si="24" ref="H416:P416">SUM(H288,H289,H290,H291,H293)</f>
        <v>221800</v>
      </c>
      <c r="I416" s="82">
        <f t="shared" si="24"/>
        <v>146929.2</v>
      </c>
      <c r="J416" s="82">
        <f t="shared" si="24"/>
        <v>330.49920494156385</v>
      </c>
      <c r="K416" s="82">
        <f t="shared" si="24"/>
        <v>184950</v>
      </c>
      <c r="L416" s="82">
        <f t="shared" si="24"/>
        <v>221800</v>
      </c>
      <c r="M416" s="82">
        <f t="shared" si="24"/>
        <v>209800</v>
      </c>
      <c r="N416" s="82">
        <f t="shared" si="24"/>
        <v>221800</v>
      </c>
      <c r="O416" s="82">
        <f t="shared" si="24"/>
        <v>215500</v>
      </c>
      <c r="P416" s="82">
        <f t="shared" si="24"/>
        <v>226800</v>
      </c>
      <c r="Q416" s="81"/>
    </row>
    <row r="417" spans="1:17" ht="15" hidden="1">
      <c r="A417" s="81"/>
      <c r="B417" s="81"/>
      <c r="C417" s="81"/>
      <c r="D417" s="81" t="s">
        <v>464</v>
      </c>
      <c r="E417" s="81"/>
      <c r="F417" s="81"/>
      <c r="G417" s="82">
        <f aca="true" t="shared" si="25" ref="G417:P417">SUM(G9,G101,G102,G103,G296,G297,G298)</f>
        <v>17090</v>
      </c>
      <c r="H417" s="82">
        <f t="shared" si="25"/>
        <v>17143.6</v>
      </c>
      <c r="I417" s="82">
        <f t="shared" si="25"/>
        <v>16249.400000000001</v>
      </c>
      <c r="J417" s="82">
        <f t="shared" si="25"/>
        <v>717.7485108936207</v>
      </c>
      <c r="K417" s="82">
        <f t="shared" si="25"/>
        <v>17871</v>
      </c>
      <c r="L417" s="82">
        <f t="shared" si="25"/>
        <v>16890</v>
      </c>
      <c r="M417" s="82">
        <f t="shared" si="25"/>
        <v>16555</v>
      </c>
      <c r="N417" s="82">
        <f t="shared" si="25"/>
        <v>16890</v>
      </c>
      <c r="O417" s="82">
        <f t="shared" si="25"/>
        <v>15835</v>
      </c>
      <c r="P417" s="82">
        <f t="shared" si="25"/>
        <v>15435</v>
      </c>
      <c r="Q417" s="81"/>
    </row>
    <row r="418" spans="1:17" ht="15" hidden="1">
      <c r="A418" s="81"/>
      <c r="B418" s="81"/>
      <c r="C418" s="81"/>
      <c r="D418" s="81" t="s">
        <v>465</v>
      </c>
      <c r="E418" s="81"/>
      <c r="F418" s="81"/>
      <c r="G418" s="82">
        <f aca="true" t="shared" si="26" ref="G418:P418">SUM(G10,G104,G159,G202,G224,G238,G273,G301)</f>
        <v>15158</v>
      </c>
      <c r="H418" s="82">
        <f t="shared" si="26"/>
        <v>15158</v>
      </c>
      <c r="I418" s="82">
        <f t="shared" si="26"/>
        <v>8560.5</v>
      </c>
      <c r="J418" s="82" t="e">
        <f t="shared" si="26"/>
        <v>#DIV/0!</v>
      </c>
      <c r="K418" s="82">
        <f t="shared" si="26"/>
        <v>12433</v>
      </c>
      <c r="L418" s="82">
        <f t="shared" si="26"/>
        <v>14126</v>
      </c>
      <c r="M418" s="82">
        <f t="shared" si="26"/>
        <v>13513</v>
      </c>
      <c r="N418" s="82">
        <f t="shared" si="26"/>
        <v>14326</v>
      </c>
      <c r="O418" s="82">
        <f t="shared" si="26"/>
        <v>12763</v>
      </c>
      <c r="P418" s="82">
        <f t="shared" si="26"/>
        <v>12463</v>
      </c>
      <c r="Q418" s="81"/>
    </row>
    <row r="419" spans="1:17" ht="15" hidden="1">
      <c r="A419" s="81"/>
      <c r="B419" s="81"/>
      <c r="C419" s="81"/>
      <c r="D419" s="81" t="s">
        <v>468</v>
      </c>
      <c r="E419" s="81"/>
      <c r="F419" s="81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1"/>
    </row>
    <row r="420" spans="1:17" ht="15" hidden="1">
      <c r="A420" s="81"/>
      <c r="B420" s="81"/>
      <c r="C420" s="81"/>
      <c r="D420" s="81" t="s">
        <v>467</v>
      </c>
      <c r="E420" s="81"/>
      <c r="F420" s="81"/>
      <c r="G420" s="82">
        <f>+G376-G415-G423-G424</f>
        <v>68352.70000000001</v>
      </c>
      <c r="H420" s="82">
        <f aca="true" t="shared" si="27" ref="H420:P420">+H376-H415-H423-H424</f>
        <v>74628.99999999997</v>
      </c>
      <c r="I420" s="82">
        <f t="shared" si="27"/>
        <v>66777.00000000009</v>
      </c>
      <c r="J420" s="82" t="e">
        <f t="shared" si="27"/>
        <v>#DIV/0!</v>
      </c>
      <c r="K420" s="82">
        <f t="shared" si="27"/>
        <v>79390.40000000002</v>
      </c>
      <c r="L420" s="82">
        <f t="shared" si="27"/>
        <v>64953.99999999997</v>
      </c>
      <c r="M420" s="82">
        <f t="shared" si="27"/>
        <v>53965</v>
      </c>
      <c r="N420" s="82">
        <f t="shared" si="27"/>
        <v>67000.99999999997</v>
      </c>
      <c r="O420" s="82">
        <f t="shared" si="27"/>
        <v>47153</v>
      </c>
      <c r="P420" s="82">
        <f t="shared" si="27"/>
        <v>48103</v>
      </c>
      <c r="Q420" s="81"/>
    </row>
    <row r="421" spans="1:17" ht="15" hidden="1">
      <c r="A421" s="81"/>
      <c r="B421" s="81"/>
      <c r="C421" s="81"/>
      <c r="D421" s="311" t="s">
        <v>479</v>
      </c>
      <c r="E421" s="311"/>
      <c r="F421" s="311"/>
      <c r="G421" s="82">
        <f aca="true" t="shared" si="28" ref="G421:P421">SUM(G23,G32,G40,G42,G118,G124,G128,G134,G137,G138,G325,G330,G332,G334)</f>
        <v>40036</v>
      </c>
      <c r="H421" s="82">
        <f t="shared" si="28"/>
        <v>39986</v>
      </c>
      <c r="I421" s="82">
        <f t="shared" si="28"/>
        <v>36269</v>
      </c>
      <c r="J421" s="82" t="e">
        <f t="shared" si="28"/>
        <v>#DIV/0!</v>
      </c>
      <c r="K421" s="82">
        <f t="shared" si="28"/>
        <v>41578.1</v>
      </c>
      <c r="L421" s="82">
        <f t="shared" si="28"/>
        <v>42119</v>
      </c>
      <c r="M421" s="82">
        <f t="shared" si="28"/>
        <v>25610</v>
      </c>
      <c r="N421" s="82">
        <f t="shared" si="28"/>
        <v>45119</v>
      </c>
      <c r="O421" s="82">
        <f t="shared" si="28"/>
        <v>21911</v>
      </c>
      <c r="P421" s="82">
        <f t="shared" si="28"/>
        <v>21911</v>
      </c>
      <c r="Q421" s="81"/>
    </row>
    <row r="422" spans="1:17" ht="15" hidden="1">
      <c r="A422" s="81"/>
      <c r="B422" s="81"/>
      <c r="C422" s="81"/>
      <c r="D422" s="311" t="s">
        <v>480</v>
      </c>
      <c r="E422" s="311"/>
      <c r="F422" s="311"/>
      <c r="G422" s="82">
        <f aca="true" t="shared" si="29" ref="G422:P422">SUM(G74,G144,G182,G209,G225,G239,G254,G275)</f>
        <v>4470</v>
      </c>
      <c r="H422" s="82">
        <f t="shared" si="29"/>
        <v>4470</v>
      </c>
      <c r="I422" s="82">
        <f t="shared" si="29"/>
        <v>3878.5</v>
      </c>
      <c r="J422" s="82" t="e">
        <f t="shared" si="29"/>
        <v>#DIV/0!</v>
      </c>
      <c r="K422" s="82">
        <f t="shared" si="29"/>
        <v>4922</v>
      </c>
      <c r="L422" s="82">
        <f t="shared" si="29"/>
        <v>3780</v>
      </c>
      <c r="M422" s="82">
        <f t="shared" si="29"/>
        <v>4900</v>
      </c>
      <c r="N422" s="82">
        <f t="shared" si="29"/>
        <v>3780</v>
      </c>
      <c r="O422" s="82">
        <f t="shared" si="29"/>
        <v>3900</v>
      </c>
      <c r="P422" s="82">
        <f t="shared" si="29"/>
        <v>3900</v>
      </c>
      <c r="Q422" s="81"/>
    </row>
    <row r="423" spans="1:17" ht="15" hidden="1">
      <c r="A423" s="81"/>
      <c r="B423" s="81"/>
      <c r="C423" s="81"/>
      <c r="D423" s="81" t="s">
        <v>227</v>
      </c>
      <c r="E423" s="81"/>
      <c r="F423" s="81"/>
      <c r="G423" s="82">
        <f aca="true" t="shared" si="30" ref="G423:P423">SUM(G72,G276,G329,G331,G337,G342)</f>
        <v>152278</v>
      </c>
      <c r="H423" s="82">
        <f t="shared" si="30"/>
        <v>208213</v>
      </c>
      <c r="I423" s="82">
        <f t="shared" si="30"/>
        <v>273371.10000000003</v>
      </c>
      <c r="J423" s="82" t="e">
        <f t="shared" si="30"/>
        <v>#DIV/0!</v>
      </c>
      <c r="K423" s="82">
        <f t="shared" si="30"/>
        <v>296047</v>
      </c>
      <c r="L423" s="82">
        <f t="shared" si="30"/>
        <v>37700</v>
      </c>
      <c r="M423" s="82">
        <f t="shared" si="30"/>
        <v>35785</v>
      </c>
      <c r="N423" s="82">
        <f t="shared" si="30"/>
        <v>12600</v>
      </c>
      <c r="O423" s="82">
        <f t="shared" si="30"/>
        <v>18200</v>
      </c>
      <c r="P423" s="82">
        <f t="shared" si="30"/>
        <v>18200</v>
      </c>
      <c r="Q423" s="81"/>
    </row>
    <row r="424" spans="1:17" ht="15" hidden="1">
      <c r="A424" s="81"/>
      <c r="B424" s="81"/>
      <c r="C424" s="81"/>
      <c r="D424" s="81" t="s">
        <v>229</v>
      </c>
      <c r="E424" s="81"/>
      <c r="F424" s="81"/>
      <c r="G424" s="82">
        <f aca="true" t="shared" si="31" ref="G424:P424">SUM(G11,G13,G17,G55,G58,G59,G63,G64,G75,G76,G77,G78,G79,G80,G81,G106,G107,G108,G109,G110,G111,G113,G160,G161,G162,G205,G252,G274,G304)</f>
        <v>150790.3</v>
      </c>
      <c r="H424" s="82">
        <f t="shared" si="31"/>
        <v>178344.6</v>
      </c>
      <c r="I424" s="82">
        <f t="shared" si="31"/>
        <v>141794.4</v>
      </c>
      <c r="J424" s="82" t="e">
        <f t="shared" si="31"/>
        <v>#DIV/0!</v>
      </c>
      <c r="K424" s="82">
        <f t="shared" si="31"/>
        <v>227117</v>
      </c>
      <c r="L424" s="82">
        <f t="shared" si="31"/>
        <v>149619.6</v>
      </c>
      <c r="M424" s="82">
        <f t="shared" si="31"/>
        <v>217414</v>
      </c>
      <c r="N424" s="82">
        <f t="shared" si="31"/>
        <v>149619.6</v>
      </c>
      <c r="O424" s="82">
        <f t="shared" si="31"/>
        <v>181600</v>
      </c>
      <c r="P424" s="82">
        <f t="shared" si="31"/>
        <v>181600</v>
      </c>
      <c r="Q424" s="81"/>
    </row>
    <row r="425" spans="1:17" ht="15" hidden="1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</row>
    <row r="426" spans="1:17" ht="15" hidden="1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</row>
    <row r="427" spans="1:17" ht="15" hidden="1">
      <c r="A427" s="81"/>
      <c r="B427" s="81"/>
      <c r="C427" s="81"/>
      <c r="D427" s="81"/>
      <c r="E427" s="81"/>
      <c r="F427" s="81"/>
      <c r="G427" s="82">
        <f>SUM(G326,G329,G331,G337,G342)</f>
        <v>152238</v>
      </c>
      <c r="H427" s="82">
        <f aca="true" t="shared" si="32" ref="H427:P427">SUM(H326,H329,H331,H337,H342)</f>
        <v>208173</v>
      </c>
      <c r="I427" s="82">
        <f t="shared" si="32"/>
        <v>272854.7</v>
      </c>
      <c r="J427" s="82" t="e">
        <f t="shared" si="32"/>
        <v>#DIV/0!</v>
      </c>
      <c r="K427" s="82">
        <f t="shared" si="32"/>
        <v>295509</v>
      </c>
      <c r="L427" s="82">
        <f t="shared" si="32"/>
        <v>37700</v>
      </c>
      <c r="M427" s="82">
        <f t="shared" si="32"/>
        <v>35785</v>
      </c>
      <c r="N427" s="82">
        <f t="shared" si="32"/>
        <v>12600</v>
      </c>
      <c r="O427" s="82">
        <f t="shared" si="32"/>
        <v>18200</v>
      </c>
      <c r="P427" s="82">
        <f t="shared" si="32"/>
        <v>18200</v>
      </c>
      <c r="Q427" s="81"/>
    </row>
    <row r="428" spans="1:17" ht="15" hidden="1">
      <c r="A428" s="81"/>
      <c r="B428" s="81"/>
      <c r="C428" s="81"/>
      <c r="D428" s="81"/>
      <c r="E428" s="81"/>
      <c r="F428" s="81"/>
      <c r="G428" s="82">
        <f aca="true" t="shared" si="33" ref="G428:P428">SUM(G63,G64,G75,G76,G77,G78,G79,G80,G81,G274)</f>
        <v>1000</v>
      </c>
      <c r="H428" s="82">
        <f t="shared" si="33"/>
        <v>2128</v>
      </c>
      <c r="I428" s="82">
        <f t="shared" si="33"/>
        <v>1348</v>
      </c>
      <c r="J428" s="82" t="e">
        <f t="shared" si="33"/>
        <v>#REF!</v>
      </c>
      <c r="K428" s="82">
        <f t="shared" si="33"/>
        <v>40503</v>
      </c>
      <c r="L428" s="82">
        <f t="shared" si="33"/>
        <v>0</v>
      </c>
      <c r="M428" s="82">
        <f t="shared" si="33"/>
        <v>35794</v>
      </c>
      <c r="N428" s="82">
        <f t="shared" si="33"/>
        <v>0</v>
      </c>
      <c r="O428" s="82">
        <f t="shared" si="33"/>
        <v>0</v>
      </c>
      <c r="P428" s="82">
        <f t="shared" si="33"/>
        <v>0</v>
      </c>
      <c r="Q428" s="81"/>
    </row>
    <row r="429" spans="1:17" ht="15" hidden="1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</row>
    <row r="430" spans="1:17" ht="15" hidden="1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2">
        <f aca="true" t="shared" si="34" ref="K430:P430">SUM(K427:K429)</f>
        <v>336012</v>
      </c>
      <c r="L430" s="82">
        <f t="shared" si="34"/>
        <v>37700</v>
      </c>
      <c r="M430" s="82">
        <f t="shared" si="34"/>
        <v>71579</v>
      </c>
      <c r="N430" s="82">
        <f t="shared" si="34"/>
        <v>12600</v>
      </c>
      <c r="O430" s="82">
        <f t="shared" si="34"/>
        <v>18200</v>
      </c>
      <c r="P430" s="82">
        <f t="shared" si="34"/>
        <v>18200</v>
      </c>
      <c r="Q430" s="81"/>
    </row>
    <row r="431" spans="1:17" ht="1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</row>
    <row r="432" spans="1:17" ht="1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</row>
    <row r="433" spans="1:17" ht="1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</row>
    <row r="434" spans="1:17" ht="1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</row>
    <row r="435" spans="1:17" ht="1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</row>
    <row r="436" spans="1:17" ht="1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</row>
    <row r="437" spans="1:17" ht="1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</row>
    <row r="438" spans="1:17" ht="1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</row>
    <row r="439" spans="1:17" ht="1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</row>
    <row r="440" spans="1:17" ht="1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</row>
    <row r="441" spans="1:17" ht="1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</row>
    <row r="442" spans="1:17" ht="1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</row>
    <row r="443" spans="1:17" ht="1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</row>
    <row r="444" spans="1:17" ht="1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</row>
    <row r="445" spans="1:17" ht="1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</row>
    <row r="446" spans="1:17" ht="1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</row>
    <row r="447" spans="1:17" ht="1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</row>
    <row r="448" spans="1:17" ht="1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</row>
    <row r="449" spans="1:17" ht="1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</row>
    <row r="450" spans="1:17" ht="1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</row>
    <row r="451" spans="1:17" ht="1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</row>
    <row r="452" spans="1:17" ht="1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</row>
    <row r="453" spans="1:17" ht="1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</row>
    <row r="454" spans="1:17" ht="1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</row>
    <row r="455" spans="1:17" ht="1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</row>
    <row r="456" spans="1:17" ht="1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</row>
    <row r="457" spans="1:17" ht="1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</row>
    <row r="458" spans="1:17" ht="1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</row>
    <row r="459" spans="1:17" ht="1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</row>
    <row r="460" spans="1:17" ht="1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</row>
    <row r="461" spans="1:17" ht="1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</row>
    <row r="462" spans="1:17" ht="1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</row>
    <row r="463" spans="1:17" ht="1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</row>
    <row r="464" spans="1:17" ht="1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</row>
    <row r="465" spans="1:17" ht="1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</row>
    <row r="466" spans="1:17" ht="1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</row>
  </sheetData>
  <sheetProtection/>
  <mergeCells count="2">
    <mergeCell ref="A1:C1"/>
    <mergeCell ref="A3:M3"/>
  </mergeCells>
  <printOptions/>
  <pageMargins left="1.0236220472440944" right="0.1968503937007874" top="0.2362204724409449" bottom="0.2362204724409449" header="0.03937007874015748" footer="0.0787401574803149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34"/>
  <sheetViews>
    <sheetView zoomScaleSheetLayoutView="100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40625" defaultRowHeight="12.75"/>
  <cols>
    <col min="1" max="1" width="8.8515625" style="94" customWidth="1"/>
    <col min="2" max="2" width="10.8515625" style="94" bestFit="1" customWidth="1"/>
    <col min="3" max="3" width="75.7109375" style="94" customWidth="1"/>
    <col min="4" max="4" width="14.421875" style="94" customWidth="1"/>
    <col min="5" max="5" width="13.8515625" style="94" customWidth="1"/>
    <col min="6" max="7" width="15.8515625" style="94" customWidth="1"/>
    <col min="8" max="8" width="14.57421875" style="94" hidden="1" customWidth="1"/>
    <col min="9" max="9" width="12.00390625" style="94" hidden="1" customWidth="1"/>
    <col min="10" max="10" width="14.421875" style="94" customWidth="1"/>
    <col min="11" max="11" width="15.28125" style="94" hidden="1" customWidth="1"/>
    <col min="12" max="12" width="15.00390625" style="94" customWidth="1"/>
    <col min="13" max="13" width="15.28125" style="94" hidden="1" customWidth="1"/>
    <col min="14" max="14" width="15.140625" style="94" customWidth="1"/>
    <col min="15" max="15" width="14.140625" style="94" customWidth="1"/>
    <col min="16" max="16" width="54.00390625" style="94" hidden="1" customWidth="1"/>
    <col min="17" max="16384" width="9.140625" style="94" customWidth="1"/>
  </cols>
  <sheetData>
    <row r="1" spans="1:16" ht="18">
      <c r="A1" s="90" t="s">
        <v>233</v>
      </c>
      <c r="B1" s="91"/>
      <c r="C1" s="92"/>
      <c r="D1" s="92"/>
      <c r="E1" s="92"/>
      <c r="F1" s="93"/>
      <c r="G1" s="93"/>
      <c r="H1" s="93"/>
      <c r="K1" s="93"/>
      <c r="L1" s="93"/>
      <c r="M1" s="93"/>
      <c r="N1" s="93"/>
      <c r="O1" s="312" t="s">
        <v>486</v>
      </c>
      <c r="P1" s="93"/>
    </row>
    <row r="2" spans="1:5" ht="7.5" customHeight="1">
      <c r="A2" s="90"/>
      <c r="B2" s="91"/>
      <c r="C2" s="95"/>
      <c r="D2" s="95"/>
      <c r="E2" s="95"/>
    </row>
    <row r="3" spans="1:16" s="2" customFormat="1" ht="20.25">
      <c r="A3" s="371" t="s">
        <v>516</v>
      </c>
      <c r="B3" s="371"/>
      <c r="C3" s="371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216"/>
      <c r="O3" s="216"/>
      <c r="P3" s="216"/>
    </row>
    <row r="4" spans="6:16" s="96" customFormat="1" ht="7.5" customHeight="1" thickBot="1">
      <c r="F4" s="97"/>
      <c r="G4" s="97"/>
      <c r="H4" s="97"/>
      <c r="I4" s="98" t="s">
        <v>1</v>
      </c>
      <c r="J4" s="98"/>
      <c r="K4" s="97"/>
      <c r="L4" s="97"/>
      <c r="M4" s="97"/>
      <c r="N4" s="97"/>
      <c r="O4" s="97"/>
      <c r="P4" s="97"/>
    </row>
    <row r="5" spans="1:16" s="96" customFormat="1" ht="15.75">
      <c r="A5" s="99" t="s">
        <v>2</v>
      </c>
      <c r="B5" s="100" t="s">
        <v>3</v>
      </c>
      <c r="C5" s="101" t="s">
        <v>5</v>
      </c>
      <c r="D5" s="313" t="s">
        <v>7</v>
      </c>
      <c r="E5" s="10" t="s">
        <v>7</v>
      </c>
      <c r="F5" s="101" t="s">
        <v>499</v>
      </c>
      <c r="G5" s="101" t="s">
        <v>500</v>
      </c>
      <c r="H5" s="11" t="s">
        <v>7</v>
      </c>
      <c r="I5" s="101" t="s">
        <v>8</v>
      </c>
      <c r="J5" s="101" t="s">
        <v>404</v>
      </c>
      <c r="K5" s="101" t="s">
        <v>410</v>
      </c>
      <c r="L5" s="101" t="s">
        <v>6</v>
      </c>
      <c r="M5" s="101" t="s">
        <v>410</v>
      </c>
      <c r="N5" s="101" t="s">
        <v>6</v>
      </c>
      <c r="O5" s="101" t="s">
        <v>6</v>
      </c>
      <c r="P5" s="101" t="s">
        <v>403</v>
      </c>
    </row>
    <row r="6" spans="1:16" s="96" customFormat="1" ht="15.75" customHeight="1" thickBot="1">
      <c r="A6" s="102"/>
      <c r="B6" s="103"/>
      <c r="C6" s="104"/>
      <c r="D6" s="330">
        <v>2007</v>
      </c>
      <c r="E6" s="331">
        <v>2008</v>
      </c>
      <c r="F6" s="105" t="s">
        <v>405</v>
      </c>
      <c r="G6" s="105" t="s">
        <v>405</v>
      </c>
      <c r="H6" s="14" t="s">
        <v>433</v>
      </c>
      <c r="I6" s="105" t="s">
        <v>234</v>
      </c>
      <c r="J6" s="105" t="s">
        <v>405</v>
      </c>
      <c r="K6" s="105" t="s">
        <v>402</v>
      </c>
      <c r="L6" s="105" t="s">
        <v>402</v>
      </c>
      <c r="M6" s="105" t="s">
        <v>440</v>
      </c>
      <c r="N6" s="105" t="s">
        <v>440</v>
      </c>
      <c r="O6" s="105" t="s">
        <v>441</v>
      </c>
      <c r="P6" s="105"/>
    </row>
    <row r="7" spans="1:16" s="96" customFormat="1" ht="16.5" customHeight="1" thickTop="1">
      <c r="A7" s="106">
        <v>10</v>
      </c>
      <c r="B7" s="107"/>
      <c r="C7" s="108" t="s">
        <v>235</v>
      </c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s="96" customFormat="1" ht="14.25" customHeight="1">
      <c r="A8" s="110"/>
      <c r="B8" s="111"/>
      <c r="C8" s="110"/>
      <c r="D8" s="110"/>
      <c r="E8" s="110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s="96" customFormat="1" ht="15" customHeight="1">
      <c r="A9" s="110"/>
      <c r="B9" s="113">
        <v>2143</v>
      </c>
      <c r="C9" s="114" t="s">
        <v>236</v>
      </c>
      <c r="D9" s="244">
        <v>2516.6</v>
      </c>
      <c r="E9" s="244">
        <v>2595.8</v>
      </c>
      <c r="F9" s="244">
        <v>5040</v>
      </c>
      <c r="G9" s="244">
        <v>7888.3</v>
      </c>
      <c r="H9" s="244">
        <v>5264.5</v>
      </c>
      <c r="I9" s="244">
        <f aca="true" t="shared" si="0" ref="I9:I35">(H9/G9)*100</f>
        <v>66.73808044825881</v>
      </c>
      <c r="J9" s="244">
        <v>7888</v>
      </c>
      <c r="K9" s="244">
        <v>3000</v>
      </c>
      <c r="L9" s="281">
        <v>12000</v>
      </c>
      <c r="M9" s="281">
        <v>3000</v>
      </c>
      <c r="N9" s="281">
        <v>5000</v>
      </c>
      <c r="O9" s="244">
        <v>5000</v>
      </c>
      <c r="P9" s="223" t="s">
        <v>471</v>
      </c>
    </row>
    <row r="10" spans="1:16" s="96" customFormat="1" ht="15">
      <c r="A10" s="114"/>
      <c r="B10" s="113">
        <v>3111</v>
      </c>
      <c r="C10" s="114" t="s">
        <v>237</v>
      </c>
      <c r="D10" s="244">
        <v>8625.9</v>
      </c>
      <c r="E10" s="244">
        <v>9114</v>
      </c>
      <c r="F10" s="282">
        <v>8500</v>
      </c>
      <c r="G10" s="282">
        <v>8880</v>
      </c>
      <c r="H10" s="282">
        <v>6874.3</v>
      </c>
      <c r="I10" s="244">
        <f t="shared" si="0"/>
        <v>77.4132882882883</v>
      </c>
      <c r="J10" s="244">
        <v>8880</v>
      </c>
      <c r="K10" s="282">
        <v>9500</v>
      </c>
      <c r="L10" s="283">
        <v>8100</v>
      </c>
      <c r="M10" s="283">
        <v>11000</v>
      </c>
      <c r="N10" s="283">
        <v>9000</v>
      </c>
      <c r="O10" s="282">
        <v>9000</v>
      </c>
      <c r="P10" s="224"/>
    </row>
    <row r="11" spans="1:16" s="96" customFormat="1" ht="15">
      <c r="A11" s="114"/>
      <c r="B11" s="113">
        <v>3113</v>
      </c>
      <c r="C11" s="114" t="s">
        <v>238</v>
      </c>
      <c r="D11" s="244">
        <v>27581.3</v>
      </c>
      <c r="E11" s="244">
        <v>29937.9</v>
      </c>
      <c r="F11" s="282">
        <v>31500</v>
      </c>
      <c r="G11" s="282">
        <v>31500</v>
      </c>
      <c r="H11" s="282">
        <v>25464</v>
      </c>
      <c r="I11" s="244">
        <f t="shared" si="0"/>
        <v>80.83809523809524</v>
      </c>
      <c r="J11" s="244">
        <v>31500</v>
      </c>
      <c r="K11" s="282">
        <v>33000</v>
      </c>
      <c r="L11" s="282">
        <v>30000</v>
      </c>
      <c r="M11" s="284">
        <v>35000</v>
      </c>
      <c r="N11" s="284">
        <v>30000</v>
      </c>
      <c r="O11" s="282">
        <v>30000</v>
      </c>
      <c r="P11" s="225"/>
    </row>
    <row r="12" spans="1:16" s="96" customFormat="1" ht="15">
      <c r="A12" s="114"/>
      <c r="B12" s="113">
        <v>3114</v>
      </c>
      <c r="C12" s="114" t="s">
        <v>239</v>
      </c>
      <c r="D12" s="244">
        <v>0</v>
      </c>
      <c r="E12" s="244">
        <v>0</v>
      </c>
      <c r="F12" s="282">
        <v>134</v>
      </c>
      <c r="G12" s="282">
        <v>134</v>
      </c>
      <c r="H12" s="282">
        <v>133.7</v>
      </c>
      <c r="I12" s="244">
        <f t="shared" si="0"/>
        <v>99.77611940298506</v>
      </c>
      <c r="J12" s="244">
        <v>134</v>
      </c>
      <c r="K12" s="282">
        <v>150</v>
      </c>
      <c r="L12" s="282">
        <v>150</v>
      </c>
      <c r="M12" s="284">
        <v>0</v>
      </c>
      <c r="N12" s="284">
        <v>0</v>
      </c>
      <c r="O12" s="282">
        <v>0</v>
      </c>
      <c r="P12" s="225"/>
    </row>
    <row r="13" spans="1:16" s="96" customFormat="1" ht="15">
      <c r="A13" s="114"/>
      <c r="B13" s="113">
        <v>3231</v>
      </c>
      <c r="C13" s="114" t="s">
        <v>240</v>
      </c>
      <c r="D13" s="244">
        <v>570</v>
      </c>
      <c r="E13" s="244">
        <v>625</v>
      </c>
      <c r="F13" s="282">
        <v>625</v>
      </c>
      <c r="G13" s="282">
        <v>625</v>
      </c>
      <c r="H13" s="282">
        <v>521</v>
      </c>
      <c r="I13" s="244">
        <f t="shared" si="0"/>
        <v>83.36</v>
      </c>
      <c r="J13" s="244">
        <v>625</v>
      </c>
      <c r="K13" s="282">
        <v>750</v>
      </c>
      <c r="L13" s="282">
        <v>625</v>
      </c>
      <c r="M13" s="284">
        <v>750</v>
      </c>
      <c r="N13" s="284">
        <v>800</v>
      </c>
      <c r="O13" s="282">
        <v>800</v>
      </c>
      <c r="P13" s="225"/>
    </row>
    <row r="14" spans="1:16" s="96" customFormat="1" ht="15">
      <c r="A14" s="114"/>
      <c r="B14" s="113">
        <v>3313</v>
      </c>
      <c r="C14" s="114" t="s">
        <v>241</v>
      </c>
      <c r="D14" s="244">
        <v>1336.5</v>
      </c>
      <c r="E14" s="244">
        <v>1394.1</v>
      </c>
      <c r="F14" s="244">
        <v>1150</v>
      </c>
      <c r="G14" s="244">
        <v>1349</v>
      </c>
      <c r="H14" s="244">
        <v>1008.2</v>
      </c>
      <c r="I14" s="244">
        <f t="shared" si="0"/>
        <v>74.73684210526315</v>
      </c>
      <c r="J14" s="244">
        <v>1349</v>
      </c>
      <c r="K14" s="244">
        <v>1150</v>
      </c>
      <c r="L14" s="244">
        <v>1300</v>
      </c>
      <c r="M14" s="285">
        <v>1150</v>
      </c>
      <c r="N14" s="285">
        <v>1000</v>
      </c>
      <c r="O14" s="244">
        <v>1000</v>
      </c>
      <c r="P14" s="226"/>
    </row>
    <row r="15" spans="1:16" s="96" customFormat="1" ht="15" hidden="1">
      <c r="A15" s="114"/>
      <c r="B15" s="113">
        <v>3314</v>
      </c>
      <c r="C15" s="114" t="s">
        <v>242</v>
      </c>
      <c r="D15" s="244"/>
      <c r="E15" s="244"/>
      <c r="F15" s="244"/>
      <c r="G15" s="244"/>
      <c r="H15" s="244"/>
      <c r="I15" s="244" t="e">
        <f t="shared" si="0"/>
        <v>#DIV/0!</v>
      </c>
      <c r="J15" s="244"/>
      <c r="K15" s="244"/>
      <c r="L15" s="244"/>
      <c r="M15" s="285"/>
      <c r="N15" s="285"/>
      <c r="O15" s="244"/>
      <c r="P15" s="226"/>
    </row>
    <row r="16" spans="1:16" s="96" customFormat="1" ht="15">
      <c r="A16" s="114"/>
      <c r="B16" s="113">
        <v>3314</v>
      </c>
      <c r="C16" s="114" t="s">
        <v>417</v>
      </c>
      <c r="D16" s="244">
        <v>7210</v>
      </c>
      <c r="E16" s="244">
        <v>7220</v>
      </c>
      <c r="F16" s="244">
        <v>7210</v>
      </c>
      <c r="G16" s="244">
        <v>7225</v>
      </c>
      <c r="H16" s="244">
        <v>5519.5</v>
      </c>
      <c r="I16" s="244">
        <f t="shared" si="0"/>
        <v>76.39446366782006</v>
      </c>
      <c r="J16" s="244">
        <v>7225</v>
      </c>
      <c r="K16" s="244">
        <v>7210</v>
      </c>
      <c r="L16" s="244">
        <v>7010</v>
      </c>
      <c r="M16" s="285">
        <v>8000</v>
      </c>
      <c r="N16" s="285">
        <v>7000</v>
      </c>
      <c r="O16" s="244">
        <v>7000</v>
      </c>
      <c r="P16" s="226"/>
    </row>
    <row r="17" spans="1:16" s="96" customFormat="1" ht="13.5" customHeight="1">
      <c r="A17" s="114"/>
      <c r="B17" s="113">
        <v>3314</v>
      </c>
      <c r="C17" s="114" t="s">
        <v>418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 t="e">
        <f t="shared" si="0"/>
        <v>#DIV/0!</v>
      </c>
      <c r="J17" s="244">
        <v>0</v>
      </c>
      <c r="K17" s="244">
        <v>0</v>
      </c>
      <c r="L17" s="244">
        <v>130</v>
      </c>
      <c r="M17" s="286">
        <v>0</v>
      </c>
      <c r="N17" s="244">
        <v>0</v>
      </c>
      <c r="O17" s="244">
        <v>0</v>
      </c>
      <c r="P17" s="217" t="s">
        <v>449</v>
      </c>
    </row>
    <row r="18" spans="1:16" s="96" customFormat="1" ht="15">
      <c r="A18" s="114"/>
      <c r="B18" s="113">
        <v>3315</v>
      </c>
      <c r="C18" s="114" t="s">
        <v>243</v>
      </c>
      <c r="D18" s="244">
        <v>6480</v>
      </c>
      <c r="E18" s="244">
        <v>6527</v>
      </c>
      <c r="F18" s="244">
        <v>5300</v>
      </c>
      <c r="G18" s="244">
        <v>6587</v>
      </c>
      <c r="H18" s="244">
        <v>4422</v>
      </c>
      <c r="I18" s="244">
        <f t="shared" si="0"/>
        <v>67.13223015029604</v>
      </c>
      <c r="J18" s="244">
        <v>6587</v>
      </c>
      <c r="K18" s="244">
        <v>5500</v>
      </c>
      <c r="L18" s="244">
        <v>6350</v>
      </c>
      <c r="M18" s="286">
        <v>5500</v>
      </c>
      <c r="N18" s="244">
        <v>6000</v>
      </c>
      <c r="O18" s="244">
        <v>6000</v>
      </c>
      <c r="P18" s="208"/>
    </row>
    <row r="19" spans="1:16" s="96" customFormat="1" ht="15" hidden="1">
      <c r="A19" s="114"/>
      <c r="B19" s="113"/>
      <c r="C19" s="114" t="s">
        <v>244</v>
      </c>
      <c r="D19" s="244"/>
      <c r="E19" s="244"/>
      <c r="F19" s="244">
        <v>0</v>
      </c>
      <c r="G19" s="244">
        <v>0</v>
      </c>
      <c r="H19" s="244"/>
      <c r="I19" s="244" t="e">
        <f t="shared" si="0"/>
        <v>#DIV/0!</v>
      </c>
      <c r="J19" s="244"/>
      <c r="K19" s="244"/>
      <c r="L19" s="244"/>
      <c r="M19" s="286"/>
      <c r="N19" s="244"/>
      <c r="O19" s="244"/>
      <c r="P19" s="208"/>
    </row>
    <row r="20" spans="1:16" s="96" customFormat="1" ht="15">
      <c r="A20" s="114"/>
      <c r="B20" s="113">
        <v>3315</v>
      </c>
      <c r="C20" s="114" t="s">
        <v>245</v>
      </c>
      <c r="D20" s="244">
        <v>0</v>
      </c>
      <c r="E20" s="244">
        <v>0</v>
      </c>
      <c r="F20" s="244">
        <v>1300</v>
      </c>
      <c r="G20" s="244">
        <v>2282</v>
      </c>
      <c r="H20" s="244">
        <v>2282</v>
      </c>
      <c r="I20" s="244">
        <f t="shared" si="0"/>
        <v>100</v>
      </c>
      <c r="J20" s="244">
        <v>2282</v>
      </c>
      <c r="K20" s="244">
        <v>0</v>
      </c>
      <c r="L20" s="244">
        <v>0</v>
      </c>
      <c r="M20" s="286">
        <v>0</v>
      </c>
      <c r="N20" s="244">
        <v>0</v>
      </c>
      <c r="O20" s="244">
        <v>0</v>
      </c>
      <c r="P20" s="208"/>
    </row>
    <row r="21" spans="1:16" s="96" customFormat="1" ht="15">
      <c r="A21" s="114"/>
      <c r="B21" s="113">
        <v>3315</v>
      </c>
      <c r="C21" s="114" t="s">
        <v>246</v>
      </c>
      <c r="D21" s="244">
        <v>0</v>
      </c>
      <c r="E21" s="244">
        <v>0</v>
      </c>
      <c r="F21" s="244">
        <v>3006</v>
      </c>
      <c r="G21" s="244">
        <v>3006</v>
      </c>
      <c r="H21" s="244">
        <v>530</v>
      </c>
      <c r="I21" s="244">
        <f t="shared" si="0"/>
        <v>17.63140385894877</v>
      </c>
      <c r="J21" s="244">
        <v>800</v>
      </c>
      <c r="K21" s="244">
        <v>0</v>
      </c>
      <c r="L21" s="244">
        <v>2206</v>
      </c>
      <c r="M21" s="286">
        <v>0</v>
      </c>
      <c r="N21" s="244">
        <v>0</v>
      </c>
      <c r="O21" s="244">
        <v>0</v>
      </c>
      <c r="P21" s="208"/>
    </row>
    <row r="22" spans="1:16" s="96" customFormat="1" ht="15">
      <c r="A22" s="114"/>
      <c r="B22" s="113">
        <v>3319</v>
      </c>
      <c r="C22" s="114" t="s">
        <v>247</v>
      </c>
      <c r="D22" s="244">
        <v>484.6</v>
      </c>
      <c r="E22" s="244">
        <v>1615.5</v>
      </c>
      <c r="F22" s="244">
        <v>1500</v>
      </c>
      <c r="G22" s="244">
        <v>1334.5</v>
      </c>
      <c r="H22" s="244">
        <v>588.9</v>
      </c>
      <c r="I22" s="244">
        <f t="shared" si="0"/>
        <v>44.12888722367928</v>
      </c>
      <c r="J22" s="244">
        <v>1335</v>
      </c>
      <c r="K22" s="244">
        <v>1000</v>
      </c>
      <c r="L22" s="244">
        <v>500</v>
      </c>
      <c r="M22" s="286">
        <v>1000</v>
      </c>
      <c r="N22" s="244">
        <v>1000</v>
      </c>
      <c r="O22" s="244">
        <v>1000</v>
      </c>
      <c r="P22" s="218" t="s">
        <v>472</v>
      </c>
    </row>
    <row r="23" spans="1:16" s="96" customFormat="1" ht="15">
      <c r="A23" s="114"/>
      <c r="B23" s="113">
        <v>3322</v>
      </c>
      <c r="C23" s="114" t="s">
        <v>248</v>
      </c>
      <c r="D23" s="244">
        <v>0</v>
      </c>
      <c r="E23" s="244">
        <v>0</v>
      </c>
      <c r="F23" s="244">
        <v>50</v>
      </c>
      <c r="G23" s="244">
        <v>75</v>
      </c>
      <c r="H23" s="244">
        <v>48.6</v>
      </c>
      <c r="I23" s="244">
        <f t="shared" si="0"/>
        <v>64.8</v>
      </c>
      <c r="J23" s="244">
        <v>75</v>
      </c>
      <c r="K23" s="244">
        <v>100</v>
      </c>
      <c r="L23" s="244">
        <v>0</v>
      </c>
      <c r="M23" s="281">
        <v>100</v>
      </c>
      <c r="N23" s="244">
        <v>100</v>
      </c>
      <c r="O23" s="244">
        <v>100</v>
      </c>
      <c r="P23" s="226"/>
    </row>
    <row r="24" spans="1:16" s="96" customFormat="1" ht="15">
      <c r="A24" s="114"/>
      <c r="B24" s="113">
        <v>3326</v>
      </c>
      <c r="C24" s="114" t="s">
        <v>249</v>
      </c>
      <c r="D24" s="244">
        <v>121</v>
      </c>
      <c r="E24" s="244">
        <v>170.2</v>
      </c>
      <c r="F24" s="244">
        <v>100</v>
      </c>
      <c r="G24" s="244">
        <v>295</v>
      </c>
      <c r="H24" s="244">
        <v>295</v>
      </c>
      <c r="I24" s="244">
        <f t="shared" si="0"/>
        <v>100</v>
      </c>
      <c r="J24" s="244">
        <v>295</v>
      </c>
      <c r="K24" s="244">
        <v>200</v>
      </c>
      <c r="L24" s="244">
        <v>0</v>
      </c>
      <c r="M24" s="281">
        <v>200</v>
      </c>
      <c r="N24" s="244">
        <v>200</v>
      </c>
      <c r="O24" s="244">
        <v>200</v>
      </c>
      <c r="P24" s="226"/>
    </row>
    <row r="25" spans="1:16" s="96" customFormat="1" ht="15">
      <c r="A25" s="114"/>
      <c r="B25" s="113">
        <v>3330</v>
      </c>
      <c r="C25" s="114" t="s">
        <v>250</v>
      </c>
      <c r="D25" s="244">
        <v>140</v>
      </c>
      <c r="E25" s="244">
        <v>3980</v>
      </c>
      <c r="F25" s="244">
        <v>150</v>
      </c>
      <c r="G25" s="244">
        <v>45</v>
      </c>
      <c r="H25" s="244">
        <v>45</v>
      </c>
      <c r="I25" s="244">
        <f t="shared" si="0"/>
        <v>100</v>
      </c>
      <c r="J25" s="244">
        <v>120</v>
      </c>
      <c r="K25" s="244">
        <v>150</v>
      </c>
      <c r="L25" s="244">
        <v>120</v>
      </c>
      <c r="M25" s="281">
        <v>150</v>
      </c>
      <c r="N25" s="244">
        <v>150</v>
      </c>
      <c r="O25" s="244">
        <v>150</v>
      </c>
      <c r="P25" s="226"/>
    </row>
    <row r="26" spans="1:16" s="96" customFormat="1" ht="15">
      <c r="A26" s="114"/>
      <c r="B26" s="113">
        <v>3349</v>
      </c>
      <c r="C26" s="114" t="s">
        <v>251</v>
      </c>
      <c r="D26" s="244">
        <v>1191.1</v>
      </c>
      <c r="E26" s="244">
        <v>1058.4</v>
      </c>
      <c r="F26" s="244">
        <v>1338</v>
      </c>
      <c r="G26" s="244">
        <v>1458</v>
      </c>
      <c r="H26" s="244">
        <v>1088.8</v>
      </c>
      <c r="I26" s="244">
        <f t="shared" si="0"/>
        <v>74.67764060356653</v>
      </c>
      <c r="J26" s="244">
        <v>1458</v>
      </c>
      <c r="K26" s="244">
        <v>1338</v>
      </c>
      <c r="L26" s="244">
        <v>1338</v>
      </c>
      <c r="M26" s="281">
        <v>1338</v>
      </c>
      <c r="N26" s="244">
        <v>1500</v>
      </c>
      <c r="O26" s="244">
        <v>1500</v>
      </c>
      <c r="P26" s="226"/>
    </row>
    <row r="27" spans="1:16" s="96" customFormat="1" ht="15">
      <c r="A27" s="114"/>
      <c r="B27" s="113">
        <v>3392</v>
      </c>
      <c r="C27" s="114" t="s">
        <v>252</v>
      </c>
      <c r="D27" s="244">
        <v>0</v>
      </c>
      <c r="E27" s="244">
        <v>866.6</v>
      </c>
      <c r="F27" s="244">
        <v>750</v>
      </c>
      <c r="G27" s="244">
        <v>1144.8</v>
      </c>
      <c r="H27" s="244">
        <v>1138.6</v>
      </c>
      <c r="I27" s="244">
        <f t="shared" si="0"/>
        <v>99.45842068483579</v>
      </c>
      <c r="J27" s="244">
        <v>1145</v>
      </c>
      <c r="K27" s="244">
        <v>750</v>
      </c>
      <c r="L27" s="244">
        <v>750</v>
      </c>
      <c r="M27" s="281">
        <v>750</v>
      </c>
      <c r="N27" s="244">
        <v>750</v>
      </c>
      <c r="O27" s="244">
        <v>750</v>
      </c>
      <c r="P27" s="227" t="s">
        <v>473</v>
      </c>
    </row>
    <row r="28" spans="1:16" s="96" customFormat="1" ht="15">
      <c r="A28" s="114"/>
      <c r="B28" s="113">
        <v>3399</v>
      </c>
      <c r="C28" s="114" t="s">
        <v>253</v>
      </c>
      <c r="D28" s="244">
        <v>2575.6</v>
      </c>
      <c r="E28" s="244">
        <v>4084</v>
      </c>
      <c r="F28" s="244">
        <v>4250</v>
      </c>
      <c r="G28" s="244">
        <v>4207.8</v>
      </c>
      <c r="H28" s="244">
        <v>1856.5</v>
      </c>
      <c r="I28" s="244">
        <f t="shared" si="0"/>
        <v>44.12044298683397</v>
      </c>
      <c r="J28" s="244">
        <v>4200</v>
      </c>
      <c r="K28" s="244">
        <v>3500</v>
      </c>
      <c r="L28" s="244">
        <v>3180</v>
      </c>
      <c r="M28" s="286">
        <v>3500</v>
      </c>
      <c r="N28" s="244">
        <v>3000</v>
      </c>
      <c r="O28" s="244">
        <v>3000</v>
      </c>
      <c r="P28" s="208"/>
    </row>
    <row r="29" spans="1:16" s="96" customFormat="1" ht="15">
      <c r="A29" s="114"/>
      <c r="B29" s="113">
        <v>3412</v>
      </c>
      <c r="C29" s="114" t="s">
        <v>519</v>
      </c>
      <c r="D29" s="244">
        <v>8931.7</v>
      </c>
      <c r="E29" s="244">
        <v>7938</v>
      </c>
      <c r="F29" s="244">
        <v>8283</v>
      </c>
      <c r="G29" s="244">
        <v>8283</v>
      </c>
      <c r="H29" s="244">
        <v>6507</v>
      </c>
      <c r="I29" s="244">
        <f t="shared" si="0"/>
        <v>78.55849329952915</v>
      </c>
      <c r="J29" s="244">
        <v>8283</v>
      </c>
      <c r="K29" s="244">
        <v>8583</v>
      </c>
      <c r="L29" s="244">
        <v>8803</v>
      </c>
      <c r="M29" s="286">
        <v>8850</v>
      </c>
      <c r="N29" s="244">
        <v>8000</v>
      </c>
      <c r="O29" s="244">
        <v>8000</v>
      </c>
      <c r="P29" s="208"/>
    </row>
    <row r="30" spans="1:16" s="96" customFormat="1" ht="15">
      <c r="A30" s="114"/>
      <c r="B30" s="113">
        <v>3412</v>
      </c>
      <c r="C30" s="114" t="s">
        <v>518</v>
      </c>
      <c r="D30" s="244">
        <v>0</v>
      </c>
      <c r="E30" s="244">
        <v>0</v>
      </c>
      <c r="F30" s="244">
        <v>0</v>
      </c>
      <c r="G30" s="244">
        <v>7000</v>
      </c>
      <c r="H30" s="244">
        <v>0</v>
      </c>
      <c r="I30" s="244">
        <f t="shared" si="0"/>
        <v>0</v>
      </c>
      <c r="J30" s="244">
        <v>850</v>
      </c>
      <c r="K30" s="244">
        <v>0</v>
      </c>
      <c r="L30" s="244">
        <v>6150</v>
      </c>
      <c r="M30" s="281">
        <v>0</v>
      </c>
      <c r="N30" s="244">
        <v>0</v>
      </c>
      <c r="O30" s="244">
        <v>0</v>
      </c>
      <c r="P30" s="218" t="s">
        <v>474</v>
      </c>
    </row>
    <row r="31" spans="1:16" s="96" customFormat="1" ht="15">
      <c r="A31" s="114"/>
      <c r="B31" s="113">
        <v>3412</v>
      </c>
      <c r="C31" s="114" t="s">
        <v>254</v>
      </c>
      <c r="D31" s="244">
        <v>7730.9</v>
      </c>
      <c r="E31" s="244">
        <v>10897.9</v>
      </c>
      <c r="F31" s="244">
        <v>7550</v>
      </c>
      <c r="G31" s="244">
        <v>7622.2</v>
      </c>
      <c r="H31" s="244">
        <v>6383.1</v>
      </c>
      <c r="I31" s="244">
        <f t="shared" si="0"/>
        <v>83.74353861089975</v>
      </c>
      <c r="J31" s="244">
        <v>7591.5</v>
      </c>
      <c r="K31" s="244">
        <v>8500</v>
      </c>
      <c r="L31" s="244">
        <v>7500</v>
      </c>
      <c r="M31" s="244">
        <v>8500</v>
      </c>
      <c r="N31" s="285">
        <v>7500</v>
      </c>
      <c r="O31" s="244">
        <v>7500</v>
      </c>
      <c r="P31" s="218" t="s">
        <v>475</v>
      </c>
    </row>
    <row r="32" spans="1:16" s="96" customFormat="1" ht="15">
      <c r="A32" s="114"/>
      <c r="B32" s="113">
        <v>3419</v>
      </c>
      <c r="C32" s="114" t="s">
        <v>255</v>
      </c>
      <c r="D32" s="244">
        <v>6701</v>
      </c>
      <c r="E32" s="244">
        <v>9876.1</v>
      </c>
      <c r="F32" s="282">
        <v>9250</v>
      </c>
      <c r="G32" s="282">
        <f>8324.8+2000+1000</f>
        <v>11324.8</v>
      </c>
      <c r="H32" s="282">
        <v>7519</v>
      </c>
      <c r="I32" s="244">
        <f t="shared" si="0"/>
        <v>66.39410850522746</v>
      </c>
      <c r="J32" s="244">
        <f>10880+1000</f>
        <v>11880</v>
      </c>
      <c r="K32" s="282">
        <v>9000</v>
      </c>
      <c r="L32" s="282">
        <v>10960</v>
      </c>
      <c r="M32" s="282">
        <v>9000</v>
      </c>
      <c r="N32" s="284">
        <v>8500</v>
      </c>
      <c r="O32" s="282">
        <v>8500</v>
      </c>
      <c r="P32" s="207"/>
    </row>
    <row r="33" spans="1:16" s="96" customFormat="1" ht="15">
      <c r="A33" s="114"/>
      <c r="B33" s="113">
        <v>3421</v>
      </c>
      <c r="C33" s="114" t="s">
        <v>517</v>
      </c>
      <c r="D33" s="244">
        <v>879.8</v>
      </c>
      <c r="E33" s="244">
        <v>2353.4</v>
      </c>
      <c r="F33" s="282">
        <v>800</v>
      </c>
      <c r="G33" s="282">
        <v>2670</v>
      </c>
      <c r="H33" s="282">
        <v>2101</v>
      </c>
      <c r="I33" s="244">
        <f t="shared" si="0"/>
        <v>78.68913857677903</v>
      </c>
      <c r="J33" s="244">
        <v>2670</v>
      </c>
      <c r="K33" s="282">
        <v>1500</v>
      </c>
      <c r="L33" s="282">
        <v>920</v>
      </c>
      <c r="M33" s="282">
        <v>1500</v>
      </c>
      <c r="N33" s="284">
        <v>2000</v>
      </c>
      <c r="O33" s="282">
        <v>2000</v>
      </c>
      <c r="P33" s="207"/>
    </row>
    <row r="34" spans="1:16" s="96" customFormat="1" ht="15">
      <c r="A34" s="114"/>
      <c r="B34" s="113">
        <v>3429</v>
      </c>
      <c r="C34" s="114" t="s">
        <v>256</v>
      </c>
      <c r="D34" s="244">
        <v>1390.1</v>
      </c>
      <c r="E34" s="244">
        <v>1138.1</v>
      </c>
      <c r="F34" s="282">
        <v>1100</v>
      </c>
      <c r="G34" s="282">
        <v>1788.3</v>
      </c>
      <c r="H34" s="282">
        <v>1481.5</v>
      </c>
      <c r="I34" s="244">
        <f t="shared" si="0"/>
        <v>82.84404182743388</v>
      </c>
      <c r="J34" s="244">
        <v>1768.4</v>
      </c>
      <c r="K34" s="282">
        <v>1000</v>
      </c>
      <c r="L34" s="283">
        <v>0</v>
      </c>
      <c r="M34" s="282">
        <v>1000</v>
      </c>
      <c r="N34" s="283">
        <v>1000</v>
      </c>
      <c r="O34" s="282">
        <v>1000</v>
      </c>
      <c r="P34" s="115"/>
    </row>
    <row r="35" spans="1:16" s="96" customFormat="1" ht="15">
      <c r="A35" s="114"/>
      <c r="B35" s="113">
        <v>6223</v>
      </c>
      <c r="C35" s="114" t="s">
        <v>257</v>
      </c>
      <c r="D35" s="244">
        <v>326.8</v>
      </c>
      <c r="E35" s="244">
        <v>427.9</v>
      </c>
      <c r="F35" s="244">
        <v>600</v>
      </c>
      <c r="G35" s="244">
        <v>820</v>
      </c>
      <c r="H35" s="244">
        <v>755.8</v>
      </c>
      <c r="I35" s="244">
        <f t="shared" si="0"/>
        <v>92.17073170731706</v>
      </c>
      <c r="J35" s="244">
        <v>820</v>
      </c>
      <c r="K35" s="244">
        <v>600</v>
      </c>
      <c r="L35" s="281">
        <v>600</v>
      </c>
      <c r="M35" s="281">
        <v>650</v>
      </c>
      <c r="N35" s="281">
        <v>700</v>
      </c>
      <c r="O35" s="244">
        <v>700</v>
      </c>
      <c r="P35" s="112"/>
    </row>
    <row r="36" spans="1:16" s="96" customFormat="1" ht="14.25" customHeight="1" thickBot="1">
      <c r="A36" s="116"/>
      <c r="B36" s="117"/>
      <c r="C36" s="118"/>
      <c r="D36" s="118"/>
      <c r="E36" s="118"/>
      <c r="F36" s="248"/>
      <c r="G36" s="248"/>
      <c r="H36" s="248"/>
      <c r="I36" s="287"/>
      <c r="J36" s="244"/>
      <c r="K36" s="248"/>
      <c r="L36" s="281"/>
      <c r="M36" s="288"/>
      <c r="N36" s="288"/>
      <c r="O36" s="248"/>
      <c r="P36" s="119"/>
    </row>
    <row r="37" spans="1:16" s="96" customFormat="1" ht="21.75" customHeight="1" thickBot="1" thickTop="1">
      <c r="A37" s="121"/>
      <c r="B37" s="122"/>
      <c r="C37" s="123" t="s">
        <v>258</v>
      </c>
      <c r="D37" s="289">
        <f>SUM(D9:D36)</f>
        <v>84792.90000000001</v>
      </c>
      <c r="E37" s="289">
        <f>SUM(E9:E36)</f>
        <v>101819.9</v>
      </c>
      <c r="F37" s="289">
        <f>SUM(F9:F36)</f>
        <v>99486</v>
      </c>
      <c r="G37" s="289">
        <f>SUM(G9:G36)</f>
        <v>117544.70000000001</v>
      </c>
      <c r="H37" s="289">
        <f>SUM(H9:H36)</f>
        <v>81828</v>
      </c>
      <c r="I37" s="289">
        <f>(H37/G37)*100</f>
        <v>69.61436798086174</v>
      </c>
      <c r="J37" s="289">
        <f aca="true" t="shared" si="1" ref="J37:O37">SUM(J9:J36)</f>
        <v>109760.9</v>
      </c>
      <c r="K37" s="289">
        <f t="shared" si="1"/>
        <v>96481</v>
      </c>
      <c r="L37" s="289">
        <f t="shared" si="1"/>
        <v>108692</v>
      </c>
      <c r="M37" s="289">
        <f t="shared" si="1"/>
        <v>100938</v>
      </c>
      <c r="N37" s="289">
        <f t="shared" si="1"/>
        <v>93200</v>
      </c>
      <c r="O37" s="289">
        <f t="shared" si="1"/>
        <v>93200</v>
      </c>
      <c r="P37" s="124"/>
    </row>
    <row r="38" spans="1:16" s="96" customFormat="1" ht="15" customHeight="1">
      <c r="A38" s="125"/>
      <c r="B38" s="126"/>
      <c r="C38" s="127"/>
      <c r="D38" s="127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9"/>
    </row>
    <row r="39" spans="1:16" s="96" customFormat="1" ht="15" customHeight="1" hidden="1">
      <c r="A39" s="125"/>
      <c r="B39" s="126"/>
      <c r="C39" s="127"/>
      <c r="D39" s="127"/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s="96" customFormat="1" ht="15" customHeight="1" hidden="1">
      <c r="A40" s="125"/>
      <c r="B40" s="126"/>
      <c r="C40" s="127"/>
      <c r="D40" s="127"/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1:16" s="96" customFormat="1" ht="15" customHeight="1" hidden="1">
      <c r="A41" s="125"/>
      <c r="B41" s="126"/>
      <c r="C41" s="127"/>
      <c r="D41" s="127"/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2:15" s="96" customFormat="1" ht="2.25" customHeight="1" thickBot="1">
      <c r="B42" s="130"/>
      <c r="F42" s="290"/>
      <c r="G42" s="290"/>
      <c r="H42" s="290"/>
      <c r="I42" s="290"/>
      <c r="J42" s="290"/>
      <c r="K42" s="290"/>
      <c r="L42" s="290"/>
      <c r="M42" s="290"/>
      <c r="N42" s="290"/>
      <c r="O42" s="290"/>
    </row>
    <row r="43" spans="1:16" s="96" customFormat="1" ht="15.75">
      <c r="A43" s="101" t="s">
        <v>2</v>
      </c>
      <c r="B43" s="100" t="s">
        <v>3</v>
      </c>
      <c r="C43" s="100" t="s">
        <v>5</v>
      </c>
      <c r="D43" s="313" t="s">
        <v>7</v>
      </c>
      <c r="E43" s="10" t="s">
        <v>7</v>
      </c>
      <c r="F43" s="101" t="s">
        <v>499</v>
      </c>
      <c r="G43" s="101" t="s">
        <v>500</v>
      </c>
      <c r="H43" s="11" t="s">
        <v>7</v>
      </c>
      <c r="I43" s="101" t="s">
        <v>8</v>
      </c>
      <c r="J43" s="101" t="s">
        <v>404</v>
      </c>
      <c r="K43" s="101" t="s">
        <v>410</v>
      </c>
      <c r="L43" s="101" t="s">
        <v>6</v>
      </c>
      <c r="M43" s="101" t="s">
        <v>410</v>
      </c>
      <c r="N43" s="101" t="s">
        <v>6</v>
      </c>
      <c r="O43" s="101" t="s">
        <v>6</v>
      </c>
      <c r="P43" s="101" t="s">
        <v>403</v>
      </c>
    </row>
    <row r="44" spans="1:16" s="96" customFormat="1" ht="15.75" customHeight="1" thickBot="1">
      <c r="A44" s="102"/>
      <c r="B44" s="103"/>
      <c r="C44" s="131"/>
      <c r="D44" s="330">
        <v>2007</v>
      </c>
      <c r="E44" s="331">
        <v>2008</v>
      </c>
      <c r="F44" s="105" t="s">
        <v>405</v>
      </c>
      <c r="G44" s="105" t="s">
        <v>405</v>
      </c>
      <c r="H44" s="14" t="s">
        <v>433</v>
      </c>
      <c r="I44" s="105" t="s">
        <v>234</v>
      </c>
      <c r="J44" s="105" t="s">
        <v>405</v>
      </c>
      <c r="K44" s="105" t="s">
        <v>402</v>
      </c>
      <c r="L44" s="105" t="s">
        <v>402</v>
      </c>
      <c r="M44" s="105" t="s">
        <v>440</v>
      </c>
      <c r="N44" s="105" t="s">
        <v>440</v>
      </c>
      <c r="O44" s="105" t="s">
        <v>441</v>
      </c>
      <c r="P44" s="105"/>
    </row>
    <row r="45" spans="1:16" s="96" customFormat="1" ht="16.5" customHeight="1" thickTop="1">
      <c r="A45" s="106">
        <v>20</v>
      </c>
      <c r="B45" s="107"/>
      <c r="C45" s="108" t="s">
        <v>259</v>
      </c>
      <c r="D45" s="108"/>
      <c r="E45" s="108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132"/>
    </row>
    <row r="46" spans="1:16" s="96" customFormat="1" ht="6.75" customHeight="1">
      <c r="A46" s="110"/>
      <c r="B46" s="111"/>
      <c r="C46" s="110"/>
      <c r="D46" s="110"/>
      <c r="E46" s="110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112"/>
    </row>
    <row r="47" spans="1:16" s="96" customFormat="1" ht="15" customHeight="1" hidden="1">
      <c r="A47" s="110"/>
      <c r="B47" s="113">
        <v>2123</v>
      </c>
      <c r="C47" s="133" t="s">
        <v>260</v>
      </c>
      <c r="D47" s="133"/>
      <c r="E47" s="133"/>
      <c r="F47" s="244">
        <v>0</v>
      </c>
      <c r="G47" s="244">
        <v>0</v>
      </c>
      <c r="H47" s="244">
        <v>0</v>
      </c>
      <c r="I47" s="244" t="e">
        <f aca="true" t="shared" si="2" ref="I47:I61">(H47/G47)*100</f>
        <v>#DIV/0!</v>
      </c>
      <c r="J47" s="292">
        <v>0</v>
      </c>
      <c r="K47" s="244">
        <v>0</v>
      </c>
      <c r="L47" s="244">
        <v>0</v>
      </c>
      <c r="M47" s="244"/>
      <c r="N47" s="244"/>
      <c r="O47" s="244"/>
      <c r="P47" s="112"/>
    </row>
    <row r="48" spans="1:16" s="96" customFormat="1" ht="15">
      <c r="A48" s="114"/>
      <c r="B48" s="113">
        <v>2143</v>
      </c>
      <c r="C48" s="134" t="s">
        <v>261</v>
      </c>
      <c r="D48" s="281">
        <v>1018.8</v>
      </c>
      <c r="E48" s="281">
        <v>3347.9</v>
      </c>
      <c r="F48" s="293">
        <v>960</v>
      </c>
      <c r="G48" s="293">
        <f>8570.3-7610</f>
        <v>960.2999999999993</v>
      </c>
      <c r="H48" s="293">
        <f>1406.3-593.9</f>
        <v>812.4</v>
      </c>
      <c r="I48" s="244">
        <f t="shared" si="2"/>
        <v>84.59856294907847</v>
      </c>
      <c r="J48" s="292">
        <v>813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135"/>
    </row>
    <row r="49" spans="1:16" s="96" customFormat="1" ht="15">
      <c r="A49" s="114"/>
      <c r="B49" s="113">
        <v>2212</v>
      </c>
      <c r="C49" s="134" t="s">
        <v>262</v>
      </c>
      <c r="D49" s="281"/>
      <c r="E49" s="281"/>
      <c r="F49" s="293">
        <v>200</v>
      </c>
      <c r="G49" s="293">
        <v>200</v>
      </c>
      <c r="H49" s="293">
        <v>241.4</v>
      </c>
      <c r="I49" s="244">
        <f t="shared" si="2"/>
        <v>120.7</v>
      </c>
      <c r="J49" s="292">
        <v>242</v>
      </c>
      <c r="K49" s="293">
        <v>1200</v>
      </c>
      <c r="L49" s="293">
        <v>1200</v>
      </c>
      <c r="M49" s="293">
        <v>1400</v>
      </c>
      <c r="N49" s="293">
        <v>0</v>
      </c>
      <c r="O49" s="293">
        <v>0</v>
      </c>
      <c r="P49" s="135"/>
    </row>
    <row r="50" spans="1:16" s="96" customFormat="1" ht="15">
      <c r="A50" s="114"/>
      <c r="B50" s="113">
        <v>2229</v>
      </c>
      <c r="C50" s="134" t="s">
        <v>406</v>
      </c>
      <c r="D50" s="281"/>
      <c r="E50" s="281"/>
      <c r="F50" s="293">
        <v>100</v>
      </c>
      <c r="G50" s="293">
        <v>100</v>
      </c>
      <c r="H50" s="293">
        <v>0</v>
      </c>
      <c r="I50" s="244">
        <f t="shared" si="2"/>
        <v>0</v>
      </c>
      <c r="J50" s="292">
        <v>100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135"/>
    </row>
    <row r="51" spans="1:16" s="96" customFormat="1" ht="15" hidden="1">
      <c r="A51" s="114"/>
      <c r="B51" s="113">
        <v>2310</v>
      </c>
      <c r="C51" s="134" t="s">
        <v>263</v>
      </c>
      <c r="D51" s="281"/>
      <c r="E51" s="281"/>
      <c r="F51" s="293">
        <v>0</v>
      </c>
      <c r="G51" s="293">
        <v>0</v>
      </c>
      <c r="H51" s="293"/>
      <c r="I51" s="244" t="e">
        <f t="shared" si="2"/>
        <v>#DIV/0!</v>
      </c>
      <c r="J51" s="292"/>
      <c r="K51" s="293"/>
      <c r="L51" s="293"/>
      <c r="M51" s="293"/>
      <c r="N51" s="293"/>
      <c r="O51" s="293"/>
      <c r="P51" s="135"/>
    </row>
    <row r="52" spans="1:16" s="96" customFormat="1" ht="15">
      <c r="A52" s="114"/>
      <c r="B52" s="113">
        <v>2321</v>
      </c>
      <c r="C52" s="134" t="s">
        <v>264</v>
      </c>
      <c r="D52" s="281">
        <f>279.6+3.8</f>
        <v>283.40000000000003</v>
      </c>
      <c r="E52" s="281">
        <f>467.8+4</f>
        <v>471.8</v>
      </c>
      <c r="F52" s="293">
        <v>490</v>
      </c>
      <c r="G52" s="293">
        <v>490</v>
      </c>
      <c r="H52" s="293">
        <v>7</v>
      </c>
      <c r="I52" s="244">
        <f t="shared" si="2"/>
        <v>1.4285714285714286</v>
      </c>
      <c r="J52" s="292">
        <v>7</v>
      </c>
      <c r="K52" s="293">
        <v>500</v>
      </c>
      <c r="L52" s="293">
        <v>500</v>
      </c>
      <c r="M52" s="293">
        <v>500</v>
      </c>
      <c r="N52" s="293">
        <v>300</v>
      </c>
      <c r="O52" s="293">
        <v>300</v>
      </c>
      <c r="P52" s="135"/>
    </row>
    <row r="53" spans="1:16" s="96" customFormat="1" ht="15">
      <c r="A53" s="114"/>
      <c r="B53" s="113">
        <v>3322</v>
      </c>
      <c r="C53" s="136" t="s">
        <v>265</v>
      </c>
      <c r="D53" s="338">
        <f>96.8+5.8+21.4+113+18.4</f>
        <v>255.4</v>
      </c>
      <c r="E53" s="338">
        <v>38.4</v>
      </c>
      <c r="F53" s="293">
        <v>300</v>
      </c>
      <c r="G53" s="293">
        <v>300</v>
      </c>
      <c r="H53" s="293">
        <v>0</v>
      </c>
      <c r="I53" s="244">
        <f t="shared" si="2"/>
        <v>0</v>
      </c>
      <c r="J53" s="292">
        <v>0</v>
      </c>
      <c r="K53" s="293">
        <v>300</v>
      </c>
      <c r="L53" s="293">
        <v>300</v>
      </c>
      <c r="M53" s="293">
        <v>300</v>
      </c>
      <c r="N53" s="293">
        <v>200</v>
      </c>
      <c r="O53" s="293">
        <v>200</v>
      </c>
      <c r="P53" s="135"/>
    </row>
    <row r="54" spans="1:16" s="96" customFormat="1" ht="15">
      <c r="A54" s="114"/>
      <c r="B54" s="113">
        <v>3635</v>
      </c>
      <c r="C54" s="136" t="s">
        <v>266</v>
      </c>
      <c r="D54" s="338">
        <f>28.5+170</f>
        <v>198.5</v>
      </c>
      <c r="E54" s="338">
        <v>83.5</v>
      </c>
      <c r="F54" s="293">
        <v>500</v>
      </c>
      <c r="G54" s="293">
        <v>500</v>
      </c>
      <c r="H54" s="293">
        <v>0</v>
      </c>
      <c r="I54" s="244">
        <f t="shared" si="2"/>
        <v>0</v>
      </c>
      <c r="J54" s="292">
        <v>500</v>
      </c>
      <c r="K54" s="293">
        <v>500</v>
      </c>
      <c r="L54" s="293">
        <v>500</v>
      </c>
      <c r="M54" s="293">
        <v>500</v>
      </c>
      <c r="N54" s="293">
        <v>500</v>
      </c>
      <c r="O54" s="293">
        <v>500</v>
      </c>
      <c r="P54" s="135"/>
    </row>
    <row r="55" spans="1:16" s="96" customFormat="1" ht="15">
      <c r="A55" s="114"/>
      <c r="B55" s="113">
        <v>3636</v>
      </c>
      <c r="C55" s="136" t="s">
        <v>407</v>
      </c>
      <c r="D55" s="338"/>
      <c r="E55" s="338">
        <v>554.8</v>
      </c>
      <c r="F55" s="293">
        <v>770</v>
      </c>
      <c r="G55" s="293">
        <v>770</v>
      </c>
      <c r="H55" s="293">
        <v>344.9</v>
      </c>
      <c r="I55" s="244">
        <f t="shared" si="2"/>
        <v>44.79220779220779</v>
      </c>
      <c r="J55" s="292">
        <v>500</v>
      </c>
      <c r="K55" s="293">
        <v>600</v>
      </c>
      <c r="L55" s="293">
        <v>600</v>
      </c>
      <c r="M55" s="293">
        <v>600</v>
      </c>
      <c r="N55" s="293">
        <v>400</v>
      </c>
      <c r="O55" s="293">
        <v>400</v>
      </c>
      <c r="P55" s="135"/>
    </row>
    <row r="56" spans="1:16" s="138" customFormat="1" ht="15.75">
      <c r="A56" s="114">
        <v>434902</v>
      </c>
      <c r="B56" s="113">
        <v>4349</v>
      </c>
      <c r="C56" s="134" t="s">
        <v>267</v>
      </c>
      <c r="D56" s="338"/>
      <c r="E56" s="338">
        <v>344.9</v>
      </c>
      <c r="F56" s="294">
        <v>400</v>
      </c>
      <c r="G56" s="294">
        <v>1757</v>
      </c>
      <c r="H56" s="294">
        <v>0</v>
      </c>
      <c r="I56" s="244">
        <f t="shared" si="2"/>
        <v>0</v>
      </c>
      <c r="J56" s="295">
        <v>1757</v>
      </c>
      <c r="K56" s="294">
        <v>300</v>
      </c>
      <c r="L56" s="294">
        <v>300</v>
      </c>
      <c r="M56" s="294">
        <v>300</v>
      </c>
      <c r="N56" s="294">
        <v>300</v>
      </c>
      <c r="O56" s="294">
        <v>0</v>
      </c>
      <c r="P56" s="137"/>
    </row>
    <row r="57" spans="1:16" s="138" customFormat="1" ht="15.75" hidden="1">
      <c r="A57" s="114">
        <v>434902</v>
      </c>
      <c r="B57" s="113">
        <v>4349</v>
      </c>
      <c r="C57" s="134" t="s">
        <v>268</v>
      </c>
      <c r="D57" s="338"/>
      <c r="E57" s="338"/>
      <c r="F57" s="294">
        <v>0</v>
      </c>
      <c r="G57" s="294">
        <v>0</v>
      </c>
      <c r="H57" s="294"/>
      <c r="I57" s="244" t="e">
        <f t="shared" si="2"/>
        <v>#DIV/0!</v>
      </c>
      <c r="J57" s="295"/>
      <c r="K57" s="294"/>
      <c r="L57" s="294"/>
      <c r="M57" s="294"/>
      <c r="N57" s="294"/>
      <c r="O57" s="294"/>
      <c r="P57" s="137"/>
    </row>
    <row r="58" spans="1:16" s="96" customFormat="1" ht="15">
      <c r="A58" s="139"/>
      <c r="B58" s="113">
        <v>6223</v>
      </c>
      <c r="C58" s="136" t="s">
        <v>269</v>
      </c>
      <c r="D58" s="338">
        <f>1640.6+4875.5</f>
        <v>6516.1</v>
      </c>
      <c r="E58" s="338">
        <f>1114.5+40</f>
        <v>1154.5</v>
      </c>
      <c r="F58" s="294">
        <v>800</v>
      </c>
      <c r="G58" s="294">
        <v>3630</v>
      </c>
      <c r="H58" s="294">
        <v>3002.8</v>
      </c>
      <c r="I58" s="244">
        <f t="shared" si="2"/>
        <v>82.72176308539946</v>
      </c>
      <c r="J58" s="295">
        <v>3630</v>
      </c>
      <c r="K58" s="294">
        <v>1000</v>
      </c>
      <c r="L58" s="294">
        <v>1000</v>
      </c>
      <c r="M58" s="294">
        <v>1000</v>
      </c>
      <c r="N58" s="294">
        <v>1000</v>
      </c>
      <c r="O58" s="294">
        <v>0</v>
      </c>
      <c r="P58" s="137"/>
    </row>
    <row r="59" spans="1:16" s="96" customFormat="1" ht="15">
      <c r="A59" s="139"/>
      <c r="B59" s="113">
        <v>6409</v>
      </c>
      <c r="C59" s="136" t="s">
        <v>270</v>
      </c>
      <c r="D59" s="338"/>
      <c r="E59" s="338"/>
      <c r="F59" s="294">
        <v>1000</v>
      </c>
      <c r="G59" s="294">
        <v>887</v>
      </c>
      <c r="H59" s="294">
        <v>0</v>
      </c>
      <c r="I59" s="244">
        <f t="shared" si="2"/>
        <v>0</v>
      </c>
      <c r="J59" s="295">
        <v>887</v>
      </c>
      <c r="K59" s="294">
        <v>0</v>
      </c>
      <c r="L59" s="294">
        <v>1000</v>
      </c>
      <c r="M59" s="294">
        <v>0</v>
      </c>
      <c r="N59" s="294">
        <v>500</v>
      </c>
      <c r="O59" s="294">
        <v>500</v>
      </c>
      <c r="P59" s="137"/>
    </row>
    <row r="60" spans="1:16" s="96" customFormat="1" ht="15" hidden="1">
      <c r="A60" s="139">
        <v>6409</v>
      </c>
      <c r="B60" s="113">
        <v>6409</v>
      </c>
      <c r="C60" s="136" t="s">
        <v>271</v>
      </c>
      <c r="D60" s="338"/>
      <c r="E60" s="338"/>
      <c r="F60" s="294">
        <v>0</v>
      </c>
      <c r="G60" s="294">
        <v>0</v>
      </c>
      <c r="H60" s="294"/>
      <c r="I60" s="244" t="e">
        <f t="shared" si="2"/>
        <v>#DIV/0!</v>
      </c>
      <c r="J60" s="291"/>
      <c r="K60" s="294">
        <v>0</v>
      </c>
      <c r="L60" s="294"/>
      <c r="M60" s="294"/>
      <c r="N60" s="294"/>
      <c r="O60" s="294"/>
      <c r="P60" s="137"/>
    </row>
    <row r="61" spans="1:16" s="138" customFormat="1" ht="15.75">
      <c r="A61" s="108"/>
      <c r="B61" s="111"/>
      <c r="C61" s="140" t="s">
        <v>445</v>
      </c>
      <c r="D61" s="296">
        <f>SUM(D47:D60)</f>
        <v>8272.2</v>
      </c>
      <c r="E61" s="296">
        <f>SUM(E47:E60)</f>
        <v>5995.8</v>
      </c>
      <c r="F61" s="296">
        <f>SUM(F47:F60)</f>
        <v>5520</v>
      </c>
      <c r="G61" s="296">
        <f>SUM(G47:G60)</f>
        <v>9594.3</v>
      </c>
      <c r="H61" s="296">
        <f>SUM(H47:H60)</f>
        <v>4408.5</v>
      </c>
      <c r="I61" s="244">
        <f t="shared" si="2"/>
        <v>45.94915731215409</v>
      </c>
      <c r="J61" s="296">
        <f aca="true" t="shared" si="3" ref="J61:O61">SUM(J47:J60)</f>
        <v>8436</v>
      </c>
      <c r="K61" s="296">
        <f t="shared" si="3"/>
        <v>4400</v>
      </c>
      <c r="L61" s="296">
        <f t="shared" si="3"/>
        <v>5400</v>
      </c>
      <c r="M61" s="296">
        <f t="shared" si="3"/>
        <v>4600</v>
      </c>
      <c r="N61" s="296">
        <f t="shared" si="3"/>
        <v>3200</v>
      </c>
      <c r="O61" s="296">
        <f t="shared" si="3"/>
        <v>1900</v>
      </c>
      <c r="P61" s="141"/>
    </row>
    <row r="62" spans="1:16" s="138" customFormat="1" ht="7.5" customHeight="1" hidden="1">
      <c r="A62" s="142"/>
      <c r="B62" s="143"/>
      <c r="C62" s="144"/>
      <c r="D62" s="339"/>
      <c r="E62" s="339"/>
      <c r="F62" s="297"/>
      <c r="G62" s="297"/>
      <c r="H62" s="297"/>
      <c r="I62" s="244"/>
      <c r="J62" s="248"/>
      <c r="K62" s="297"/>
      <c r="L62" s="297"/>
      <c r="M62" s="297"/>
      <c r="N62" s="297"/>
      <c r="O62" s="297"/>
      <c r="P62" s="145"/>
    </row>
    <row r="63" spans="1:16" s="138" customFormat="1" ht="7.5" customHeight="1">
      <c r="A63" s="142"/>
      <c r="B63" s="143"/>
      <c r="C63" s="144"/>
      <c r="D63" s="339"/>
      <c r="E63" s="339"/>
      <c r="F63" s="297"/>
      <c r="G63" s="297"/>
      <c r="H63" s="297"/>
      <c r="I63" s="244"/>
      <c r="J63" s="248"/>
      <c r="K63" s="297"/>
      <c r="L63" s="297"/>
      <c r="M63" s="297"/>
      <c r="N63" s="297"/>
      <c r="O63" s="297"/>
      <c r="P63" s="145"/>
    </row>
    <row r="64" spans="1:16" s="138" customFormat="1" ht="15.75">
      <c r="A64" s="114"/>
      <c r="B64" s="113"/>
      <c r="C64" s="146" t="s">
        <v>443</v>
      </c>
      <c r="D64" s="340"/>
      <c r="E64" s="340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112"/>
    </row>
    <row r="65" spans="1:16" s="138" customFormat="1" ht="8.25" customHeight="1">
      <c r="A65" s="114"/>
      <c r="B65" s="113"/>
      <c r="C65" s="146"/>
      <c r="D65" s="340"/>
      <c r="E65" s="340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112"/>
    </row>
    <row r="66" spans="1:16" s="138" customFormat="1" ht="15.75">
      <c r="A66" s="114">
        <v>71004</v>
      </c>
      <c r="B66" s="113">
        <v>2143</v>
      </c>
      <c r="C66" s="134" t="s">
        <v>272</v>
      </c>
      <c r="D66" s="281"/>
      <c r="E66" s="281"/>
      <c r="F66" s="244">
        <v>500</v>
      </c>
      <c r="G66" s="244">
        <v>550</v>
      </c>
      <c r="H66" s="244">
        <v>549.9</v>
      </c>
      <c r="I66" s="244">
        <f aca="true" t="shared" si="4" ref="I66:I121">(H66/G66)*100</f>
        <v>99.98181818181818</v>
      </c>
      <c r="J66" s="244">
        <v>550</v>
      </c>
      <c r="K66" s="244">
        <v>0</v>
      </c>
      <c r="L66" s="244">
        <v>0</v>
      </c>
      <c r="M66" s="244"/>
      <c r="N66" s="244"/>
      <c r="O66" s="244"/>
      <c r="P66" s="112"/>
    </row>
    <row r="67" spans="1:16" s="138" customFormat="1" ht="15.75">
      <c r="A67" s="114">
        <v>81023</v>
      </c>
      <c r="B67" s="113">
        <v>2143</v>
      </c>
      <c r="C67" s="134" t="s">
        <v>273</v>
      </c>
      <c r="D67" s="281"/>
      <c r="E67" s="281"/>
      <c r="F67" s="244">
        <v>7060</v>
      </c>
      <c r="G67" s="244">
        <v>7060</v>
      </c>
      <c r="H67" s="244">
        <v>91.4</v>
      </c>
      <c r="I67" s="244">
        <f t="shared" si="4"/>
        <v>1.2946175637393769</v>
      </c>
      <c r="J67" s="244">
        <v>3900</v>
      </c>
      <c r="K67" s="244">
        <v>11802</v>
      </c>
      <c r="L67" s="244">
        <v>15000</v>
      </c>
      <c r="M67" s="244"/>
      <c r="N67" s="244"/>
      <c r="O67" s="244"/>
      <c r="P67" s="214" t="s">
        <v>492</v>
      </c>
    </row>
    <row r="68" spans="1:16" s="138" customFormat="1" ht="15.75">
      <c r="A68" s="114">
        <v>61006</v>
      </c>
      <c r="B68" s="113">
        <v>2212</v>
      </c>
      <c r="C68" s="134" t="s">
        <v>275</v>
      </c>
      <c r="D68" s="281"/>
      <c r="E68" s="281"/>
      <c r="F68" s="244">
        <v>7000</v>
      </c>
      <c r="G68" s="244">
        <v>12620</v>
      </c>
      <c r="H68" s="244">
        <v>9427.7</v>
      </c>
      <c r="I68" s="244">
        <f t="shared" si="4"/>
        <v>74.70443740095088</v>
      </c>
      <c r="J68" s="244">
        <v>10420</v>
      </c>
      <c r="K68" s="244">
        <v>0</v>
      </c>
      <c r="L68" s="244">
        <v>2500</v>
      </c>
      <c r="M68" s="244"/>
      <c r="N68" s="244"/>
      <c r="O68" s="244"/>
      <c r="P68" s="112" t="s">
        <v>430</v>
      </c>
    </row>
    <row r="69" spans="1:16" s="138" customFormat="1" ht="15.75">
      <c r="A69" s="114">
        <v>81006</v>
      </c>
      <c r="B69" s="113">
        <v>2212</v>
      </c>
      <c r="C69" s="134" t="s">
        <v>276</v>
      </c>
      <c r="D69" s="281"/>
      <c r="E69" s="281"/>
      <c r="F69" s="244">
        <v>9000</v>
      </c>
      <c r="G69" s="244">
        <v>13320</v>
      </c>
      <c r="H69" s="244">
        <v>83.4</v>
      </c>
      <c r="I69" s="244">
        <f t="shared" si="4"/>
        <v>0.6261261261261262</v>
      </c>
      <c r="J69" s="244">
        <v>84</v>
      </c>
      <c r="K69" s="244">
        <v>0</v>
      </c>
      <c r="L69" s="244">
        <v>12000</v>
      </c>
      <c r="M69" s="244"/>
      <c r="N69" s="244"/>
      <c r="O69" s="244"/>
      <c r="P69" s="112"/>
    </row>
    <row r="70" spans="1:16" s="138" customFormat="1" ht="15.75">
      <c r="A70" s="114">
        <v>81007</v>
      </c>
      <c r="B70" s="113">
        <v>2212</v>
      </c>
      <c r="C70" s="134" t="s">
        <v>277</v>
      </c>
      <c r="D70" s="281"/>
      <c r="E70" s="281"/>
      <c r="F70" s="244">
        <v>9000</v>
      </c>
      <c r="G70" s="244">
        <v>8350</v>
      </c>
      <c r="H70" s="244">
        <v>7130.1</v>
      </c>
      <c r="I70" s="244">
        <f t="shared" si="4"/>
        <v>85.39041916167666</v>
      </c>
      <c r="J70" s="244">
        <v>9000</v>
      </c>
      <c r="K70" s="244">
        <v>10000</v>
      </c>
      <c r="L70" s="244">
        <v>10000</v>
      </c>
      <c r="M70" s="244"/>
      <c r="N70" s="244"/>
      <c r="O70" s="244"/>
      <c r="P70" s="112" t="s">
        <v>439</v>
      </c>
    </row>
    <row r="71" spans="1:16" s="138" customFormat="1" ht="15.75">
      <c r="A71" s="114">
        <v>81009</v>
      </c>
      <c r="B71" s="113">
        <v>2212</v>
      </c>
      <c r="C71" s="134" t="s">
        <v>278</v>
      </c>
      <c r="D71" s="281"/>
      <c r="E71" s="281"/>
      <c r="F71" s="244">
        <v>2640</v>
      </c>
      <c r="G71" s="244">
        <v>2640</v>
      </c>
      <c r="H71" s="244">
        <v>45.6</v>
      </c>
      <c r="I71" s="244">
        <f t="shared" si="4"/>
        <v>1.7272727272727273</v>
      </c>
      <c r="J71" s="244">
        <v>2655</v>
      </c>
      <c r="K71" s="244"/>
      <c r="L71" s="244"/>
      <c r="M71" s="244"/>
      <c r="N71" s="244"/>
      <c r="O71" s="244"/>
      <c r="P71" s="112"/>
    </row>
    <row r="72" spans="1:16" s="138" customFormat="1" ht="15.75">
      <c r="A72" s="147">
        <v>91017</v>
      </c>
      <c r="B72" s="113">
        <v>2212</v>
      </c>
      <c r="C72" s="134" t="s">
        <v>437</v>
      </c>
      <c r="D72" s="281"/>
      <c r="E72" s="281"/>
      <c r="F72" s="244">
        <v>0</v>
      </c>
      <c r="G72" s="244">
        <v>2050</v>
      </c>
      <c r="H72" s="244">
        <v>37</v>
      </c>
      <c r="I72" s="244">
        <f t="shared" si="4"/>
        <v>1.8048780487804876</v>
      </c>
      <c r="J72" s="244">
        <v>2050</v>
      </c>
      <c r="K72" s="244"/>
      <c r="L72" s="244"/>
      <c r="M72" s="244"/>
      <c r="N72" s="244"/>
      <c r="O72" s="329"/>
      <c r="P72" s="112"/>
    </row>
    <row r="73" spans="1:16" s="138" customFormat="1" ht="15.75">
      <c r="A73" s="114">
        <v>71011</v>
      </c>
      <c r="B73" s="113">
        <v>2219</v>
      </c>
      <c r="C73" s="134" t="s">
        <v>281</v>
      </c>
      <c r="D73" s="281"/>
      <c r="E73" s="281"/>
      <c r="F73" s="244">
        <v>2250</v>
      </c>
      <c r="G73" s="244">
        <v>6000</v>
      </c>
      <c r="H73" s="244">
        <v>76</v>
      </c>
      <c r="I73" s="244">
        <f t="shared" si="4"/>
        <v>1.2666666666666666</v>
      </c>
      <c r="J73" s="244">
        <v>210</v>
      </c>
      <c r="K73" s="244"/>
      <c r="L73" s="244">
        <v>6000</v>
      </c>
      <c r="M73" s="244"/>
      <c r="N73" s="244"/>
      <c r="O73" s="244"/>
      <c r="P73" s="112"/>
    </row>
    <row r="74" spans="1:16" s="138" customFormat="1" ht="15.75">
      <c r="A74" s="114">
        <v>81011</v>
      </c>
      <c r="B74" s="113">
        <v>2219</v>
      </c>
      <c r="C74" s="134" t="s">
        <v>282</v>
      </c>
      <c r="D74" s="244"/>
      <c r="E74" s="281"/>
      <c r="F74" s="244">
        <v>100</v>
      </c>
      <c r="G74" s="244">
        <v>38</v>
      </c>
      <c r="H74" s="244">
        <v>0</v>
      </c>
      <c r="I74" s="244">
        <f t="shared" si="4"/>
        <v>0</v>
      </c>
      <c r="J74" s="244">
        <v>0</v>
      </c>
      <c r="K74" s="244"/>
      <c r="L74" s="244"/>
      <c r="M74" s="244"/>
      <c r="N74" s="244"/>
      <c r="O74" s="312" t="s">
        <v>487</v>
      </c>
      <c r="P74" s="112"/>
    </row>
    <row r="75" spans="1:16" s="138" customFormat="1" ht="15.75" customHeight="1">
      <c r="A75" s="114">
        <v>91008</v>
      </c>
      <c r="B75" s="113">
        <v>2219</v>
      </c>
      <c r="C75" s="134" t="s">
        <v>283</v>
      </c>
      <c r="D75" s="244"/>
      <c r="E75" s="281"/>
      <c r="F75" s="244">
        <v>400</v>
      </c>
      <c r="G75" s="244">
        <v>500</v>
      </c>
      <c r="H75" s="244">
        <v>0</v>
      </c>
      <c r="I75" s="244">
        <f t="shared" si="4"/>
        <v>0</v>
      </c>
      <c r="J75" s="244">
        <v>500</v>
      </c>
      <c r="K75" s="244"/>
      <c r="L75" s="244"/>
      <c r="M75" s="244"/>
      <c r="N75" s="244"/>
      <c r="O75" s="244"/>
      <c r="P75" s="112"/>
    </row>
    <row r="76" spans="1:16" s="138" customFormat="1" ht="15.75" customHeight="1">
      <c r="A76" s="114">
        <v>91012</v>
      </c>
      <c r="B76" s="113">
        <v>2219</v>
      </c>
      <c r="C76" s="134" t="s">
        <v>284</v>
      </c>
      <c r="D76" s="244"/>
      <c r="E76" s="281"/>
      <c r="F76" s="244">
        <v>0</v>
      </c>
      <c r="G76" s="244">
        <v>11401</v>
      </c>
      <c r="H76" s="244">
        <v>0</v>
      </c>
      <c r="I76" s="244">
        <f t="shared" si="4"/>
        <v>0</v>
      </c>
      <c r="J76" s="244">
        <v>34783</v>
      </c>
      <c r="K76" s="244"/>
      <c r="L76" s="244"/>
      <c r="M76" s="245"/>
      <c r="N76" s="245"/>
      <c r="O76" s="245"/>
      <c r="P76" s="30" t="s">
        <v>438</v>
      </c>
    </row>
    <row r="77" spans="1:16" s="138" customFormat="1" ht="15.75" customHeight="1">
      <c r="A77" s="114">
        <v>91007</v>
      </c>
      <c r="B77" s="113">
        <v>2239</v>
      </c>
      <c r="C77" s="134" t="s">
        <v>286</v>
      </c>
      <c r="D77" s="244"/>
      <c r="E77" s="281"/>
      <c r="F77" s="244">
        <v>500</v>
      </c>
      <c r="G77" s="244">
        <v>0</v>
      </c>
      <c r="H77" s="244">
        <v>0</v>
      </c>
      <c r="I77" s="244" t="e">
        <f t="shared" si="4"/>
        <v>#DIV/0!</v>
      </c>
      <c r="J77" s="244">
        <v>0</v>
      </c>
      <c r="K77" s="244"/>
      <c r="L77" s="244"/>
      <c r="M77" s="244"/>
      <c r="N77" s="244"/>
      <c r="O77" s="244"/>
      <c r="P77" s="112"/>
    </row>
    <row r="78" spans="1:16" s="138" customFormat="1" ht="15.75">
      <c r="A78" s="114">
        <v>71021</v>
      </c>
      <c r="B78" s="113">
        <v>2321</v>
      </c>
      <c r="C78" s="134" t="s">
        <v>287</v>
      </c>
      <c r="D78" s="244"/>
      <c r="E78" s="281"/>
      <c r="F78" s="244">
        <v>3200</v>
      </c>
      <c r="G78" s="244">
        <v>2950</v>
      </c>
      <c r="H78" s="244">
        <v>2594.3</v>
      </c>
      <c r="I78" s="244">
        <f t="shared" si="4"/>
        <v>87.94237288135594</v>
      </c>
      <c r="J78" s="244">
        <v>3200</v>
      </c>
      <c r="K78" s="244"/>
      <c r="L78" s="244"/>
      <c r="M78" s="244"/>
      <c r="N78" s="244"/>
      <c r="O78" s="244"/>
      <c r="P78" s="112"/>
    </row>
    <row r="79" spans="1:16" s="138" customFormat="1" ht="15.75">
      <c r="A79" s="114">
        <v>71026</v>
      </c>
      <c r="B79" s="113">
        <v>2321</v>
      </c>
      <c r="C79" s="134" t="s">
        <v>288</v>
      </c>
      <c r="D79" s="244"/>
      <c r="E79" s="281"/>
      <c r="F79" s="244">
        <v>1230</v>
      </c>
      <c r="G79" s="244">
        <v>1230</v>
      </c>
      <c r="H79" s="244">
        <v>1240</v>
      </c>
      <c r="I79" s="244">
        <f t="shared" si="4"/>
        <v>100.8130081300813</v>
      </c>
      <c r="J79" s="244">
        <v>1230</v>
      </c>
      <c r="K79" s="244"/>
      <c r="L79" s="244"/>
      <c r="M79" s="244"/>
      <c r="N79" s="244"/>
      <c r="O79" s="244"/>
      <c r="P79" s="112"/>
    </row>
    <row r="80" spans="1:16" s="138" customFormat="1" ht="15.75">
      <c r="A80" s="114">
        <v>71023</v>
      </c>
      <c r="B80" s="113">
        <v>3111</v>
      </c>
      <c r="C80" s="134" t="s">
        <v>289</v>
      </c>
      <c r="D80" s="244"/>
      <c r="E80" s="244"/>
      <c r="F80" s="244">
        <v>1000</v>
      </c>
      <c r="G80" s="244">
        <v>2050</v>
      </c>
      <c r="H80" s="244">
        <v>1981.7</v>
      </c>
      <c r="I80" s="244">
        <f t="shared" si="4"/>
        <v>96.66829268292683</v>
      </c>
      <c r="J80" s="244">
        <v>2050</v>
      </c>
      <c r="K80" s="244"/>
      <c r="L80" s="244"/>
      <c r="M80" s="244"/>
      <c r="N80" s="244"/>
      <c r="O80" s="244"/>
      <c r="P80" s="112"/>
    </row>
    <row r="81" spans="1:16" s="138" customFormat="1" ht="15.75">
      <c r="A81" s="114">
        <v>71005</v>
      </c>
      <c r="B81" s="113">
        <v>3113</v>
      </c>
      <c r="C81" s="134" t="s">
        <v>290</v>
      </c>
      <c r="D81" s="244"/>
      <c r="E81" s="281"/>
      <c r="F81" s="244">
        <v>8220</v>
      </c>
      <c r="G81" s="244">
        <v>21544</v>
      </c>
      <c r="H81" s="244">
        <v>21335.1</v>
      </c>
      <c r="I81" s="244">
        <f t="shared" si="4"/>
        <v>99.03035647976233</v>
      </c>
      <c r="J81" s="244">
        <v>21544</v>
      </c>
      <c r="K81" s="244"/>
      <c r="L81" s="244"/>
      <c r="M81" s="244"/>
      <c r="N81" s="244"/>
      <c r="O81" s="244"/>
      <c r="P81" s="112"/>
    </row>
    <row r="82" spans="1:16" s="138" customFormat="1" ht="15.75">
      <c r="A82" s="114">
        <v>81015</v>
      </c>
      <c r="B82" s="113">
        <v>3113</v>
      </c>
      <c r="C82" s="134" t="s">
        <v>291</v>
      </c>
      <c r="D82" s="244"/>
      <c r="E82" s="281"/>
      <c r="F82" s="244">
        <v>195</v>
      </c>
      <c r="G82" s="244">
        <v>195</v>
      </c>
      <c r="H82" s="244">
        <v>0</v>
      </c>
      <c r="I82" s="244">
        <f t="shared" si="4"/>
        <v>0</v>
      </c>
      <c r="J82" s="244">
        <v>195</v>
      </c>
      <c r="K82" s="244"/>
      <c r="L82" s="244"/>
      <c r="M82" s="244"/>
      <c r="N82" s="244"/>
      <c r="O82" s="244"/>
      <c r="P82" s="112"/>
    </row>
    <row r="83" spans="1:16" s="138" customFormat="1" ht="15.75" customHeight="1">
      <c r="A83" s="114">
        <v>91013</v>
      </c>
      <c r="B83" s="113">
        <v>3113</v>
      </c>
      <c r="C83" s="148" t="s">
        <v>292</v>
      </c>
      <c r="D83" s="341"/>
      <c r="E83" s="342"/>
      <c r="F83" s="292">
        <v>0</v>
      </c>
      <c r="G83" s="292">
        <v>4310</v>
      </c>
      <c r="H83" s="244">
        <v>3245.9</v>
      </c>
      <c r="I83" s="244">
        <f t="shared" si="4"/>
        <v>75.3109048723898</v>
      </c>
      <c r="J83" s="244">
        <v>3246</v>
      </c>
      <c r="K83" s="292"/>
      <c r="L83" s="244"/>
      <c r="M83" s="244"/>
      <c r="N83" s="244"/>
      <c r="O83" s="244"/>
      <c r="P83" s="112"/>
    </row>
    <row r="84" spans="1:16" s="138" customFormat="1" ht="15.75">
      <c r="A84" s="114">
        <v>71019</v>
      </c>
      <c r="B84" s="113">
        <v>3322</v>
      </c>
      <c r="C84" s="134" t="s">
        <v>293</v>
      </c>
      <c r="D84" s="244"/>
      <c r="E84" s="281"/>
      <c r="F84" s="244">
        <v>50000</v>
      </c>
      <c r="G84" s="244">
        <v>26815</v>
      </c>
      <c r="H84" s="244">
        <v>24718.9</v>
      </c>
      <c r="I84" s="244">
        <f t="shared" si="4"/>
        <v>92.18310647025919</v>
      </c>
      <c r="J84" s="244">
        <v>25000</v>
      </c>
      <c r="K84" s="244"/>
      <c r="L84" s="244"/>
      <c r="M84" s="244"/>
      <c r="N84" s="244"/>
      <c r="O84" s="244"/>
      <c r="P84" s="112"/>
    </row>
    <row r="85" spans="1:16" s="138" customFormat="1" ht="15.75" customHeight="1">
      <c r="A85" s="114">
        <v>91003</v>
      </c>
      <c r="B85" s="113">
        <v>3322</v>
      </c>
      <c r="C85" s="134" t="s">
        <v>408</v>
      </c>
      <c r="D85" s="244"/>
      <c r="E85" s="281"/>
      <c r="F85" s="244">
        <v>1000</v>
      </c>
      <c r="G85" s="244">
        <v>0</v>
      </c>
      <c r="H85" s="244">
        <v>0</v>
      </c>
      <c r="I85" s="244" t="e">
        <f t="shared" si="4"/>
        <v>#DIV/0!</v>
      </c>
      <c r="J85" s="244">
        <v>0</v>
      </c>
      <c r="K85" s="244"/>
      <c r="L85" s="244"/>
      <c r="M85" s="244"/>
      <c r="N85" s="244"/>
      <c r="O85" s="244"/>
      <c r="P85" s="112"/>
    </row>
    <row r="86" spans="1:16" s="138" customFormat="1" ht="15.75" customHeight="1">
      <c r="A86" s="114">
        <v>91011</v>
      </c>
      <c r="B86" s="113">
        <v>3322</v>
      </c>
      <c r="C86" s="134" t="s">
        <v>294</v>
      </c>
      <c r="D86" s="244"/>
      <c r="E86" s="281"/>
      <c r="F86" s="244">
        <v>150</v>
      </c>
      <c r="G86" s="244">
        <v>0</v>
      </c>
      <c r="H86" s="244">
        <v>0</v>
      </c>
      <c r="I86" s="244" t="e">
        <f t="shared" si="4"/>
        <v>#DIV/0!</v>
      </c>
      <c r="J86" s="244">
        <v>0</v>
      </c>
      <c r="K86" s="244"/>
      <c r="L86" s="244"/>
      <c r="M86" s="244"/>
      <c r="N86" s="244"/>
      <c r="O86" s="244"/>
      <c r="P86" s="112"/>
    </row>
    <row r="87" spans="1:16" s="138" customFormat="1" ht="15.75" customHeight="1">
      <c r="A87" s="147">
        <v>91014</v>
      </c>
      <c r="B87" s="113">
        <v>3326</v>
      </c>
      <c r="C87" s="134" t="s">
        <v>295</v>
      </c>
      <c r="D87" s="244"/>
      <c r="E87" s="281"/>
      <c r="F87" s="244">
        <v>0</v>
      </c>
      <c r="G87" s="244">
        <v>471</v>
      </c>
      <c r="H87" s="244">
        <v>114.3</v>
      </c>
      <c r="I87" s="244">
        <f t="shared" si="4"/>
        <v>24.26751592356688</v>
      </c>
      <c r="J87" s="244">
        <v>471</v>
      </c>
      <c r="K87" s="244"/>
      <c r="L87" s="244"/>
      <c r="M87" s="244"/>
      <c r="N87" s="244"/>
      <c r="O87" s="244"/>
      <c r="P87" s="112"/>
    </row>
    <row r="88" spans="1:16" s="138" customFormat="1" ht="15.75">
      <c r="A88" s="114">
        <v>71015</v>
      </c>
      <c r="B88" s="113">
        <v>3392</v>
      </c>
      <c r="C88" s="134" t="s">
        <v>297</v>
      </c>
      <c r="D88" s="244"/>
      <c r="E88" s="281"/>
      <c r="F88" s="244">
        <v>7800</v>
      </c>
      <c r="G88" s="244">
        <f>7800+5500</f>
        <v>13300</v>
      </c>
      <c r="H88" s="244">
        <v>12889.1</v>
      </c>
      <c r="I88" s="244">
        <f t="shared" si="4"/>
        <v>96.91052631578948</v>
      </c>
      <c r="J88" s="244">
        <v>12889</v>
      </c>
      <c r="K88" s="244"/>
      <c r="L88" s="244"/>
      <c r="M88" s="244"/>
      <c r="N88" s="244"/>
      <c r="O88" s="244"/>
      <c r="P88" s="112"/>
    </row>
    <row r="89" spans="1:16" s="138" customFormat="1" ht="15.75">
      <c r="A89" s="114">
        <v>71009</v>
      </c>
      <c r="B89" s="113">
        <v>3412</v>
      </c>
      <c r="C89" s="148" t="s">
        <v>298</v>
      </c>
      <c r="D89" s="341"/>
      <c r="E89" s="342"/>
      <c r="F89" s="244">
        <f>800+5000</f>
        <v>5800</v>
      </c>
      <c r="G89" s="244">
        <v>18500</v>
      </c>
      <c r="H89" s="244">
        <v>1456.2</v>
      </c>
      <c r="I89" s="244">
        <f t="shared" si="4"/>
        <v>7.871351351351352</v>
      </c>
      <c r="J89" s="244">
        <v>19000</v>
      </c>
      <c r="K89" s="244"/>
      <c r="L89" s="244">
        <v>24500</v>
      </c>
      <c r="M89" s="245"/>
      <c r="N89" s="245"/>
      <c r="O89" s="245"/>
      <c r="P89" s="30" t="s">
        <v>427</v>
      </c>
    </row>
    <row r="90" spans="1:16" s="138" customFormat="1" ht="15.75">
      <c r="A90" s="114">
        <v>71013</v>
      </c>
      <c r="B90" s="113">
        <v>3412</v>
      </c>
      <c r="C90" s="148" t="s">
        <v>299</v>
      </c>
      <c r="D90" s="341"/>
      <c r="E90" s="342"/>
      <c r="F90" s="244">
        <v>250</v>
      </c>
      <c r="G90" s="244">
        <v>0</v>
      </c>
      <c r="H90" s="244">
        <v>0</v>
      </c>
      <c r="I90" s="244" t="e">
        <f t="shared" si="4"/>
        <v>#DIV/0!</v>
      </c>
      <c r="J90" s="244">
        <v>0</v>
      </c>
      <c r="K90" s="244"/>
      <c r="L90" s="244"/>
      <c r="M90" s="244"/>
      <c r="N90" s="244"/>
      <c r="O90" s="244"/>
      <c r="P90" s="112"/>
    </row>
    <row r="91" spans="1:16" s="138" customFormat="1" ht="15.75">
      <c r="A91" s="114">
        <v>81002</v>
      </c>
      <c r="B91" s="113">
        <v>3412</v>
      </c>
      <c r="C91" s="148" t="s">
        <v>300</v>
      </c>
      <c r="D91" s="341"/>
      <c r="E91" s="342"/>
      <c r="F91" s="244">
        <v>0</v>
      </c>
      <c r="G91" s="244">
        <v>833</v>
      </c>
      <c r="H91" s="244">
        <v>0</v>
      </c>
      <c r="I91" s="244">
        <f t="shared" si="4"/>
        <v>0</v>
      </c>
      <c r="J91" s="244">
        <v>833</v>
      </c>
      <c r="K91" s="244"/>
      <c r="L91" s="244"/>
      <c r="M91" s="244"/>
      <c r="N91" s="244"/>
      <c r="O91" s="244"/>
      <c r="P91" s="112"/>
    </row>
    <row r="92" spans="1:16" s="138" customFormat="1" ht="15.75">
      <c r="A92" s="114">
        <v>81013</v>
      </c>
      <c r="B92" s="113">
        <v>3412</v>
      </c>
      <c r="C92" s="148" t="s">
        <v>301</v>
      </c>
      <c r="D92" s="341"/>
      <c r="E92" s="342"/>
      <c r="F92" s="244">
        <v>54</v>
      </c>
      <c r="G92" s="244">
        <v>54</v>
      </c>
      <c r="H92" s="244">
        <v>0</v>
      </c>
      <c r="I92" s="244">
        <f t="shared" si="4"/>
        <v>0</v>
      </c>
      <c r="J92" s="244">
        <v>0</v>
      </c>
      <c r="K92" s="244"/>
      <c r="L92" s="244"/>
      <c r="M92" s="244"/>
      <c r="N92" s="244"/>
      <c r="O92" s="244"/>
      <c r="P92" s="112"/>
    </row>
    <row r="93" spans="1:16" s="138" customFormat="1" ht="15.75" customHeight="1">
      <c r="A93" s="114">
        <v>81016</v>
      </c>
      <c r="B93" s="113">
        <v>3421</v>
      </c>
      <c r="C93" s="134" t="s">
        <v>303</v>
      </c>
      <c r="D93" s="244"/>
      <c r="E93" s="281"/>
      <c r="F93" s="244">
        <v>500</v>
      </c>
      <c r="G93" s="244">
        <v>500</v>
      </c>
      <c r="H93" s="244">
        <v>7.1</v>
      </c>
      <c r="I93" s="244">
        <f t="shared" si="4"/>
        <v>1.42</v>
      </c>
      <c r="J93" s="244">
        <v>200</v>
      </c>
      <c r="K93" s="244"/>
      <c r="L93" s="244">
        <v>2000</v>
      </c>
      <c r="M93" s="244"/>
      <c r="N93" s="244"/>
      <c r="O93" s="244"/>
      <c r="P93" s="112"/>
    </row>
    <row r="94" spans="1:16" s="138" customFormat="1" ht="15.75" customHeight="1">
      <c r="A94" s="114">
        <v>91002</v>
      </c>
      <c r="B94" s="113">
        <v>3421</v>
      </c>
      <c r="C94" s="148" t="s">
        <v>304</v>
      </c>
      <c r="D94" s="341"/>
      <c r="E94" s="342"/>
      <c r="F94" s="292">
        <v>300</v>
      </c>
      <c r="G94" s="292">
        <v>472</v>
      </c>
      <c r="H94" s="292">
        <v>471.2</v>
      </c>
      <c r="I94" s="244">
        <f t="shared" si="4"/>
        <v>99.83050847457628</v>
      </c>
      <c r="J94" s="244">
        <v>472</v>
      </c>
      <c r="K94" s="292"/>
      <c r="L94" s="292"/>
      <c r="M94" s="292"/>
      <c r="N94" s="292"/>
      <c r="O94" s="292"/>
      <c r="P94" s="149"/>
    </row>
    <row r="95" spans="1:16" s="138" customFormat="1" ht="15" customHeight="1">
      <c r="A95" s="114">
        <v>91009</v>
      </c>
      <c r="B95" s="113">
        <v>3421</v>
      </c>
      <c r="C95" s="134" t="s">
        <v>305</v>
      </c>
      <c r="D95" s="244"/>
      <c r="E95" s="281"/>
      <c r="F95" s="244">
        <v>400</v>
      </c>
      <c r="G95" s="244">
        <v>400</v>
      </c>
      <c r="H95" s="244">
        <v>398.3</v>
      </c>
      <c r="I95" s="244">
        <f t="shared" si="4"/>
        <v>99.575</v>
      </c>
      <c r="J95" s="244">
        <v>400</v>
      </c>
      <c r="K95" s="244"/>
      <c r="L95" s="244"/>
      <c r="M95" s="244"/>
      <c r="N95" s="244"/>
      <c r="O95" s="244"/>
      <c r="P95" s="112"/>
    </row>
    <row r="96" spans="1:16" s="138" customFormat="1" ht="15.75">
      <c r="A96" s="114">
        <v>81021</v>
      </c>
      <c r="B96" s="113">
        <v>3631</v>
      </c>
      <c r="C96" s="134" t="s">
        <v>306</v>
      </c>
      <c r="D96" s="244"/>
      <c r="E96" s="281"/>
      <c r="F96" s="244">
        <v>150</v>
      </c>
      <c r="G96" s="244">
        <v>90</v>
      </c>
      <c r="H96" s="244">
        <v>89.3</v>
      </c>
      <c r="I96" s="244">
        <f t="shared" si="4"/>
        <v>99.22222222222223</v>
      </c>
      <c r="J96" s="244">
        <v>90</v>
      </c>
      <c r="K96" s="244"/>
      <c r="L96" s="244"/>
      <c r="M96" s="244"/>
      <c r="N96" s="244"/>
      <c r="O96" s="244"/>
      <c r="P96" s="112"/>
    </row>
    <row r="97" spans="1:16" s="138" customFormat="1" ht="15.75">
      <c r="A97" s="114">
        <v>81022</v>
      </c>
      <c r="B97" s="113">
        <v>3631</v>
      </c>
      <c r="C97" s="134" t="s">
        <v>307</v>
      </c>
      <c r="D97" s="281"/>
      <c r="E97" s="281"/>
      <c r="F97" s="244">
        <v>300</v>
      </c>
      <c r="G97" s="244">
        <v>295</v>
      </c>
      <c r="H97" s="244">
        <v>294.3</v>
      </c>
      <c r="I97" s="244">
        <f t="shared" si="4"/>
        <v>99.76271186440678</v>
      </c>
      <c r="J97" s="244">
        <v>295</v>
      </c>
      <c r="K97" s="244"/>
      <c r="L97" s="244"/>
      <c r="M97" s="244"/>
      <c r="N97" s="244"/>
      <c r="O97" s="244"/>
      <c r="P97" s="112"/>
    </row>
    <row r="98" spans="1:16" s="138" customFormat="1" ht="15.75">
      <c r="A98" s="114"/>
      <c r="B98" s="113">
        <v>2219</v>
      </c>
      <c r="C98" s="150" t="s">
        <v>493</v>
      </c>
      <c r="D98" s="292"/>
      <c r="E98" s="292"/>
      <c r="F98" s="244"/>
      <c r="G98" s="244"/>
      <c r="H98" s="244"/>
      <c r="I98" s="244"/>
      <c r="J98" s="244"/>
      <c r="K98" s="244"/>
      <c r="L98" s="244">
        <v>7500</v>
      </c>
      <c r="M98" s="244"/>
      <c r="N98" s="244"/>
      <c r="O98" s="244"/>
      <c r="P98" s="215" t="s">
        <v>429</v>
      </c>
    </row>
    <row r="99" spans="1:16" s="138" customFormat="1" ht="15.75">
      <c r="A99" s="114"/>
      <c r="B99" s="113"/>
      <c r="C99" s="140" t="s">
        <v>446</v>
      </c>
      <c r="D99" s="247">
        <f>SUM(D66:D98)</f>
        <v>0</v>
      </c>
      <c r="E99" s="247">
        <f>SUM(E66:E98)</f>
        <v>0</v>
      </c>
      <c r="F99" s="247">
        <f>SUM(F66:F98)</f>
        <v>118999</v>
      </c>
      <c r="G99" s="247">
        <f aca="true" t="shared" si="5" ref="G99:O99">SUM(G66:G98)</f>
        <v>158538</v>
      </c>
      <c r="H99" s="247">
        <f t="shared" si="5"/>
        <v>88276.80000000002</v>
      </c>
      <c r="I99" s="247" t="e">
        <f t="shared" si="5"/>
        <v>#DIV/0!</v>
      </c>
      <c r="J99" s="247">
        <f t="shared" si="5"/>
        <v>155267</v>
      </c>
      <c r="K99" s="247">
        <f t="shared" si="5"/>
        <v>21802</v>
      </c>
      <c r="L99" s="247">
        <f t="shared" si="5"/>
        <v>79500</v>
      </c>
      <c r="M99" s="247">
        <f t="shared" si="5"/>
        <v>0</v>
      </c>
      <c r="N99" s="247">
        <f t="shared" si="5"/>
        <v>0</v>
      </c>
      <c r="O99" s="247">
        <f t="shared" si="5"/>
        <v>0</v>
      </c>
      <c r="P99" s="166"/>
    </row>
    <row r="100" spans="1:16" s="138" customFormat="1" ht="7.5" customHeight="1">
      <c r="A100" s="114"/>
      <c r="B100" s="113"/>
      <c r="C100" s="134"/>
      <c r="D100" s="281"/>
      <c r="E100" s="281"/>
      <c r="F100" s="244"/>
      <c r="G100" s="244"/>
      <c r="H100" s="244"/>
      <c r="I100" s="244"/>
      <c r="J100" s="244"/>
      <c r="K100" s="244"/>
      <c r="L100" s="244"/>
      <c r="M100" s="245"/>
      <c r="N100" s="245"/>
      <c r="O100" s="245"/>
      <c r="P100" s="166"/>
    </row>
    <row r="101" spans="1:16" s="138" customFormat="1" ht="15.75" customHeight="1">
      <c r="A101" s="114"/>
      <c r="B101" s="113"/>
      <c r="C101" s="146" t="s">
        <v>442</v>
      </c>
      <c r="D101" s="340"/>
      <c r="E101" s="340"/>
      <c r="F101" s="292"/>
      <c r="G101" s="292"/>
      <c r="H101" s="292"/>
      <c r="I101" s="244"/>
      <c r="J101" s="244"/>
      <c r="K101" s="292"/>
      <c r="L101" s="292"/>
      <c r="M101" s="298"/>
      <c r="N101" s="298"/>
      <c r="O101" s="298"/>
      <c r="P101" s="174"/>
    </row>
    <row r="102" spans="1:16" s="138" customFormat="1" ht="15.75">
      <c r="A102" s="348">
        <v>61005</v>
      </c>
      <c r="B102" s="349">
        <v>2212</v>
      </c>
      <c r="C102" s="350" t="s">
        <v>274</v>
      </c>
      <c r="D102" s="351"/>
      <c r="E102" s="351"/>
      <c r="F102" s="352">
        <v>2360</v>
      </c>
      <c r="G102" s="352">
        <v>2360</v>
      </c>
      <c r="H102" s="352">
        <v>62.7</v>
      </c>
      <c r="I102" s="352">
        <f aca="true" t="shared" si="6" ref="I102:I119">(H102/G102)*100</f>
        <v>2.6567796610169494</v>
      </c>
      <c r="J102" s="352">
        <v>2360</v>
      </c>
      <c r="K102" s="352">
        <v>0</v>
      </c>
      <c r="L102" s="352">
        <v>4000</v>
      </c>
      <c r="M102" s="352"/>
      <c r="N102" s="352"/>
      <c r="O102" s="352"/>
      <c r="P102" s="112"/>
    </row>
    <row r="103" spans="1:16" s="138" customFormat="1" ht="15.75">
      <c r="A103" s="348">
        <v>81005</v>
      </c>
      <c r="B103" s="349">
        <v>2212</v>
      </c>
      <c r="C103" s="350" t="s">
        <v>444</v>
      </c>
      <c r="D103" s="351"/>
      <c r="E103" s="351"/>
      <c r="F103" s="352">
        <v>20</v>
      </c>
      <c r="G103" s="352">
        <v>20</v>
      </c>
      <c r="H103" s="352">
        <v>14.3</v>
      </c>
      <c r="I103" s="352">
        <f t="shared" si="6"/>
        <v>71.50000000000001</v>
      </c>
      <c r="J103" s="352">
        <v>15</v>
      </c>
      <c r="K103" s="352">
        <v>0</v>
      </c>
      <c r="L103" s="352">
        <v>13000</v>
      </c>
      <c r="M103" s="352"/>
      <c r="N103" s="352"/>
      <c r="O103" s="352"/>
      <c r="P103" s="112"/>
    </row>
    <row r="104" spans="1:16" s="138" customFormat="1" ht="15.75">
      <c r="A104" s="353">
        <v>91015</v>
      </c>
      <c r="B104" s="349">
        <v>2212</v>
      </c>
      <c r="C104" s="350" t="s">
        <v>505</v>
      </c>
      <c r="D104" s="351"/>
      <c r="E104" s="351"/>
      <c r="F104" s="352">
        <v>0</v>
      </c>
      <c r="G104" s="352">
        <v>698</v>
      </c>
      <c r="H104" s="352">
        <v>50.2</v>
      </c>
      <c r="I104" s="352">
        <f t="shared" si="6"/>
        <v>7.191977077363896</v>
      </c>
      <c r="J104" s="352">
        <v>962</v>
      </c>
      <c r="K104" s="352"/>
      <c r="L104" s="352">
        <v>15500</v>
      </c>
      <c r="M104" s="352"/>
      <c r="N104" s="352"/>
      <c r="O104" s="352"/>
      <c r="P104" s="214" t="s">
        <v>451</v>
      </c>
    </row>
    <row r="105" spans="1:16" s="138" customFormat="1" ht="15.75">
      <c r="A105" s="348">
        <v>71002</v>
      </c>
      <c r="B105" s="349">
        <v>2219</v>
      </c>
      <c r="C105" s="350" t="s">
        <v>279</v>
      </c>
      <c r="D105" s="351"/>
      <c r="E105" s="351"/>
      <c r="F105" s="352">
        <v>9300</v>
      </c>
      <c r="G105" s="352">
        <v>6300</v>
      </c>
      <c r="H105" s="352">
        <v>36.9</v>
      </c>
      <c r="I105" s="352">
        <f t="shared" si="6"/>
        <v>0.5857142857142856</v>
      </c>
      <c r="J105" s="352">
        <v>37</v>
      </c>
      <c r="K105" s="352"/>
      <c r="L105" s="352">
        <v>10000</v>
      </c>
      <c r="M105" s="352"/>
      <c r="N105" s="352">
        <v>10000</v>
      </c>
      <c r="O105" s="352"/>
      <c r="P105" s="112"/>
    </row>
    <row r="106" spans="1:16" s="138" customFormat="1" ht="15.75" hidden="1">
      <c r="A106" s="348">
        <v>71010</v>
      </c>
      <c r="B106" s="349">
        <v>2219</v>
      </c>
      <c r="C106" s="350" t="s">
        <v>280</v>
      </c>
      <c r="D106" s="351"/>
      <c r="E106" s="351"/>
      <c r="F106" s="352">
        <v>0</v>
      </c>
      <c r="G106" s="352">
        <v>0</v>
      </c>
      <c r="H106" s="352"/>
      <c r="I106" s="352" t="e">
        <f t="shared" si="6"/>
        <v>#DIV/0!</v>
      </c>
      <c r="J106" s="352"/>
      <c r="K106" s="352"/>
      <c r="L106" s="352"/>
      <c r="M106" s="352"/>
      <c r="N106" s="352"/>
      <c r="O106" s="352"/>
      <c r="P106" s="112"/>
    </row>
    <row r="107" spans="1:16" s="138" customFormat="1" ht="15.75">
      <c r="A107" s="348">
        <v>71010</v>
      </c>
      <c r="B107" s="349">
        <v>2219</v>
      </c>
      <c r="C107" s="350" t="s">
        <v>413</v>
      </c>
      <c r="D107" s="351"/>
      <c r="E107" s="351"/>
      <c r="F107" s="352">
        <v>0</v>
      </c>
      <c r="G107" s="352">
        <v>0</v>
      </c>
      <c r="H107" s="352">
        <v>0</v>
      </c>
      <c r="I107" s="352" t="e">
        <f t="shared" si="6"/>
        <v>#DIV/0!</v>
      </c>
      <c r="J107" s="352">
        <v>0</v>
      </c>
      <c r="K107" s="352">
        <v>5000</v>
      </c>
      <c r="L107" s="352">
        <v>5000</v>
      </c>
      <c r="M107" s="352"/>
      <c r="N107" s="352"/>
      <c r="O107" s="352"/>
      <c r="P107" s="112"/>
    </row>
    <row r="108" spans="1:16" s="138" customFormat="1" ht="15.75" customHeight="1">
      <c r="A108" s="348">
        <v>91005</v>
      </c>
      <c r="B108" s="349">
        <v>2219</v>
      </c>
      <c r="C108" s="354" t="s">
        <v>514</v>
      </c>
      <c r="D108" s="355"/>
      <c r="E108" s="355"/>
      <c r="F108" s="352">
        <v>200</v>
      </c>
      <c r="G108" s="352">
        <v>120</v>
      </c>
      <c r="H108" s="352">
        <v>0</v>
      </c>
      <c r="I108" s="352">
        <f t="shared" si="6"/>
        <v>0</v>
      </c>
      <c r="J108" s="352">
        <v>200</v>
      </c>
      <c r="K108" s="352"/>
      <c r="L108" s="352">
        <v>12800</v>
      </c>
      <c r="M108" s="352"/>
      <c r="N108" s="352">
        <v>5000</v>
      </c>
      <c r="O108" s="352"/>
      <c r="P108" s="149"/>
    </row>
    <row r="109" spans="1:16" s="138" customFormat="1" ht="15.75">
      <c r="A109" s="348">
        <v>71007</v>
      </c>
      <c r="B109" s="349">
        <v>2221</v>
      </c>
      <c r="C109" s="350" t="s">
        <v>285</v>
      </c>
      <c r="D109" s="351"/>
      <c r="E109" s="351"/>
      <c r="F109" s="352">
        <v>2000</v>
      </c>
      <c r="G109" s="352">
        <v>2357</v>
      </c>
      <c r="H109" s="352">
        <v>0</v>
      </c>
      <c r="I109" s="352">
        <f t="shared" si="6"/>
        <v>0</v>
      </c>
      <c r="J109" s="352">
        <v>2357</v>
      </c>
      <c r="K109" s="352"/>
      <c r="L109" s="352">
        <v>7500</v>
      </c>
      <c r="M109" s="352"/>
      <c r="N109" s="352">
        <v>80000</v>
      </c>
      <c r="O109" s="352">
        <v>50000</v>
      </c>
      <c r="P109" s="214" t="s">
        <v>452</v>
      </c>
    </row>
    <row r="110" spans="1:16" s="138" customFormat="1" ht="15.75">
      <c r="A110" s="348"/>
      <c r="B110" s="349"/>
      <c r="C110" s="350" t="s">
        <v>502</v>
      </c>
      <c r="D110" s="351"/>
      <c r="E110" s="351"/>
      <c r="F110" s="352"/>
      <c r="G110" s="352"/>
      <c r="H110" s="352"/>
      <c r="I110" s="352"/>
      <c r="J110" s="352"/>
      <c r="K110" s="352"/>
      <c r="L110" s="352">
        <v>6400</v>
      </c>
      <c r="M110" s="352"/>
      <c r="N110" s="352"/>
      <c r="O110" s="352"/>
      <c r="P110" s="214"/>
    </row>
    <row r="111" spans="1:16" s="138" customFormat="1" ht="15.75">
      <c r="A111" s="348">
        <v>81018</v>
      </c>
      <c r="B111" s="349">
        <v>3113</v>
      </c>
      <c r="C111" s="350" t="s">
        <v>504</v>
      </c>
      <c r="D111" s="351"/>
      <c r="E111" s="351"/>
      <c r="F111" s="352">
        <v>1500</v>
      </c>
      <c r="G111" s="352">
        <f>1500+63</f>
        <v>1563</v>
      </c>
      <c r="H111" s="352">
        <v>1562.4</v>
      </c>
      <c r="I111" s="352">
        <f t="shared" si="6"/>
        <v>99.9616122840691</v>
      </c>
      <c r="J111" s="352">
        <v>1563</v>
      </c>
      <c r="K111" s="352"/>
      <c r="L111" s="352">
        <v>25000</v>
      </c>
      <c r="M111" s="352"/>
      <c r="N111" s="352"/>
      <c r="O111" s="352"/>
      <c r="P111" s="112" t="s">
        <v>453</v>
      </c>
    </row>
    <row r="112" spans="1:16" s="138" customFormat="1" ht="15.75" customHeight="1">
      <c r="A112" s="348">
        <v>91006</v>
      </c>
      <c r="B112" s="349">
        <v>3113</v>
      </c>
      <c r="C112" s="354" t="s">
        <v>506</v>
      </c>
      <c r="D112" s="355"/>
      <c r="E112" s="355"/>
      <c r="F112" s="352">
        <v>250</v>
      </c>
      <c r="G112" s="352">
        <v>140</v>
      </c>
      <c r="H112" s="352">
        <v>159.1</v>
      </c>
      <c r="I112" s="352">
        <f t="shared" si="6"/>
        <v>113.64285714285714</v>
      </c>
      <c r="J112" s="352">
        <v>250</v>
      </c>
      <c r="K112" s="352"/>
      <c r="L112" s="352">
        <v>7000</v>
      </c>
      <c r="M112" s="352"/>
      <c r="N112" s="352">
        <v>7000</v>
      </c>
      <c r="O112" s="352"/>
      <c r="P112" s="149"/>
    </row>
    <row r="113" spans="1:16" s="138" customFormat="1" ht="15.75" customHeight="1">
      <c r="A113" s="348">
        <v>91018</v>
      </c>
      <c r="B113" s="349">
        <v>3111</v>
      </c>
      <c r="C113" s="350" t="s">
        <v>507</v>
      </c>
      <c r="D113" s="351"/>
      <c r="E113" s="351"/>
      <c r="F113" s="352">
        <v>0</v>
      </c>
      <c r="G113" s="352">
        <v>750</v>
      </c>
      <c r="H113" s="352">
        <v>0</v>
      </c>
      <c r="I113" s="352">
        <f t="shared" si="6"/>
        <v>0</v>
      </c>
      <c r="J113" s="352">
        <v>750</v>
      </c>
      <c r="K113" s="352"/>
      <c r="L113" s="352">
        <v>5000</v>
      </c>
      <c r="M113" s="352"/>
      <c r="N113" s="352"/>
      <c r="O113" s="352"/>
      <c r="P113" s="149"/>
    </row>
    <row r="114" spans="1:16" s="138" customFormat="1" ht="15.75">
      <c r="A114" s="348">
        <v>81001</v>
      </c>
      <c r="B114" s="349">
        <v>3322</v>
      </c>
      <c r="C114" s="350" t="s">
        <v>508</v>
      </c>
      <c r="D114" s="351"/>
      <c r="E114" s="351"/>
      <c r="F114" s="352">
        <v>0</v>
      </c>
      <c r="G114" s="352">
        <v>0</v>
      </c>
      <c r="H114" s="352">
        <v>0</v>
      </c>
      <c r="I114" s="352" t="e">
        <f t="shared" si="6"/>
        <v>#DIV/0!</v>
      </c>
      <c r="J114" s="352">
        <v>0</v>
      </c>
      <c r="K114" s="352">
        <v>7500</v>
      </c>
      <c r="L114" s="352">
        <v>7500</v>
      </c>
      <c r="M114" s="352"/>
      <c r="N114" s="352"/>
      <c r="O114" s="352"/>
      <c r="P114" s="112"/>
    </row>
    <row r="115" spans="1:16" s="138" customFormat="1" ht="15.75">
      <c r="A115" s="348">
        <v>81019</v>
      </c>
      <c r="B115" s="349">
        <v>3329</v>
      </c>
      <c r="C115" s="350" t="s">
        <v>296</v>
      </c>
      <c r="D115" s="351"/>
      <c r="E115" s="351"/>
      <c r="F115" s="352">
        <v>4000</v>
      </c>
      <c r="G115" s="352">
        <v>4000</v>
      </c>
      <c r="H115" s="352">
        <v>101.5</v>
      </c>
      <c r="I115" s="352">
        <f t="shared" si="6"/>
        <v>2.5375</v>
      </c>
      <c r="J115" s="352">
        <v>500</v>
      </c>
      <c r="K115" s="352"/>
      <c r="L115" s="352">
        <v>4000</v>
      </c>
      <c r="M115" s="352"/>
      <c r="N115" s="352"/>
      <c r="O115" s="352"/>
      <c r="P115" s="112"/>
    </row>
    <row r="116" spans="1:16" s="138" customFormat="1" ht="15.75" customHeight="1">
      <c r="A116" s="348">
        <v>91001</v>
      </c>
      <c r="B116" s="349">
        <v>3412</v>
      </c>
      <c r="C116" s="350" t="s">
        <v>302</v>
      </c>
      <c r="D116" s="351"/>
      <c r="E116" s="351"/>
      <c r="F116" s="352">
        <v>2000</v>
      </c>
      <c r="G116" s="352">
        <v>0</v>
      </c>
      <c r="H116" s="352">
        <v>150.8</v>
      </c>
      <c r="I116" s="352" t="e">
        <f t="shared" si="6"/>
        <v>#DIV/0!</v>
      </c>
      <c r="J116" s="352">
        <v>151</v>
      </c>
      <c r="K116" s="352"/>
      <c r="L116" s="352">
        <v>2000</v>
      </c>
      <c r="M116" s="352"/>
      <c r="N116" s="352"/>
      <c r="O116" s="352"/>
      <c r="P116" s="112"/>
    </row>
    <row r="117" spans="1:16" s="138" customFormat="1" ht="15.75" customHeight="1">
      <c r="A117" s="348">
        <v>91010</v>
      </c>
      <c r="B117" s="349">
        <v>3412</v>
      </c>
      <c r="C117" s="350" t="s">
        <v>509</v>
      </c>
      <c r="D117" s="351"/>
      <c r="E117" s="351"/>
      <c r="F117" s="352">
        <v>1500</v>
      </c>
      <c r="G117" s="352">
        <v>2239</v>
      </c>
      <c r="H117" s="352">
        <v>2238.7</v>
      </c>
      <c r="I117" s="352">
        <f t="shared" si="6"/>
        <v>99.98660116123268</v>
      </c>
      <c r="J117" s="352">
        <v>2239</v>
      </c>
      <c r="K117" s="352"/>
      <c r="L117" s="352">
        <v>3000</v>
      </c>
      <c r="M117" s="352"/>
      <c r="N117" s="352">
        <v>3000</v>
      </c>
      <c r="O117" s="352"/>
      <c r="P117" s="112"/>
    </row>
    <row r="118" spans="1:16" s="138" customFormat="1" ht="15.75" customHeight="1">
      <c r="A118" s="348">
        <v>91004</v>
      </c>
      <c r="B118" s="349">
        <v>3632</v>
      </c>
      <c r="C118" s="354" t="s">
        <v>510</v>
      </c>
      <c r="D118" s="355"/>
      <c r="E118" s="355"/>
      <c r="F118" s="352">
        <v>250</v>
      </c>
      <c r="G118" s="352">
        <v>120</v>
      </c>
      <c r="H118" s="352">
        <v>118</v>
      </c>
      <c r="I118" s="352">
        <f t="shared" si="6"/>
        <v>98.33333333333333</v>
      </c>
      <c r="J118" s="352">
        <v>118</v>
      </c>
      <c r="K118" s="352"/>
      <c r="L118" s="352">
        <v>3000</v>
      </c>
      <c r="M118" s="352"/>
      <c r="N118" s="352"/>
      <c r="O118" s="352"/>
      <c r="P118" s="149"/>
    </row>
    <row r="119" spans="1:16" s="138" customFormat="1" ht="15.75" customHeight="1">
      <c r="A119" s="348">
        <v>91019</v>
      </c>
      <c r="B119" s="349">
        <v>3113</v>
      </c>
      <c r="C119" s="354" t="s">
        <v>511</v>
      </c>
      <c r="D119" s="355"/>
      <c r="E119" s="355"/>
      <c r="F119" s="352">
        <v>0</v>
      </c>
      <c r="G119" s="352">
        <v>750</v>
      </c>
      <c r="H119" s="352">
        <v>0</v>
      </c>
      <c r="I119" s="352">
        <f t="shared" si="6"/>
        <v>0</v>
      </c>
      <c r="J119" s="352">
        <v>750</v>
      </c>
      <c r="K119" s="352"/>
      <c r="L119" s="352">
        <v>5000</v>
      </c>
      <c r="M119" s="356"/>
      <c r="N119" s="356"/>
      <c r="O119" s="356"/>
      <c r="P119" s="174"/>
    </row>
    <row r="120" spans="1:16" s="138" customFormat="1" ht="15.75">
      <c r="A120" s="348">
        <v>81012</v>
      </c>
      <c r="B120" s="349">
        <v>4357</v>
      </c>
      <c r="C120" s="350" t="s">
        <v>308</v>
      </c>
      <c r="D120" s="351"/>
      <c r="E120" s="351"/>
      <c r="F120" s="352">
        <v>5000</v>
      </c>
      <c r="G120" s="352">
        <v>2000</v>
      </c>
      <c r="H120" s="352">
        <v>58.9</v>
      </c>
      <c r="I120" s="352">
        <f t="shared" si="4"/>
        <v>2.945</v>
      </c>
      <c r="J120" s="352">
        <v>60</v>
      </c>
      <c r="K120" s="352">
        <v>10000</v>
      </c>
      <c r="L120" s="352">
        <v>22000</v>
      </c>
      <c r="M120" s="356"/>
      <c r="N120" s="356">
        <v>40000</v>
      </c>
      <c r="O120" s="356">
        <v>20000</v>
      </c>
      <c r="P120" s="215" t="s">
        <v>454</v>
      </c>
    </row>
    <row r="121" spans="1:16" s="138" customFormat="1" ht="15" customHeight="1">
      <c r="A121" s="348">
        <v>71024</v>
      </c>
      <c r="B121" s="349">
        <v>6171</v>
      </c>
      <c r="C121" s="350" t="s">
        <v>309</v>
      </c>
      <c r="D121" s="351"/>
      <c r="E121" s="351"/>
      <c r="F121" s="352">
        <v>5000</v>
      </c>
      <c r="G121" s="352">
        <v>2445</v>
      </c>
      <c r="H121" s="352">
        <v>101.7</v>
      </c>
      <c r="I121" s="352">
        <f t="shared" si="4"/>
        <v>4.159509202453988</v>
      </c>
      <c r="J121" s="352">
        <v>102</v>
      </c>
      <c r="K121" s="352">
        <v>20000</v>
      </c>
      <c r="L121" s="352">
        <v>22000</v>
      </c>
      <c r="M121" s="356"/>
      <c r="N121" s="356"/>
      <c r="O121" s="356"/>
      <c r="P121" s="215" t="s">
        <v>455</v>
      </c>
    </row>
    <row r="122" spans="1:16" s="138" customFormat="1" ht="15" customHeight="1">
      <c r="A122" s="348"/>
      <c r="B122" s="349">
        <v>2219</v>
      </c>
      <c r="C122" s="348" t="s">
        <v>419</v>
      </c>
      <c r="D122" s="352"/>
      <c r="E122" s="352"/>
      <c r="F122" s="352"/>
      <c r="G122" s="352"/>
      <c r="H122" s="352"/>
      <c r="I122" s="352"/>
      <c r="J122" s="352"/>
      <c r="K122" s="352"/>
      <c r="L122" s="357">
        <v>15000</v>
      </c>
      <c r="M122" s="358"/>
      <c r="N122" s="358"/>
      <c r="O122" s="358"/>
      <c r="P122" s="215" t="s">
        <v>456</v>
      </c>
    </row>
    <row r="123" spans="1:16" s="138" customFormat="1" ht="15" customHeight="1">
      <c r="A123" s="348"/>
      <c r="B123" s="349">
        <v>2219</v>
      </c>
      <c r="C123" s="359" t="s">
        <v>428</v>
      </c>
      <c r="D123" s="360"/>
      <c r="E123" s="360"/>
      <c r="F123" s="352"/>
      <c r="G123" s="352"/>
      <c r="H123" s="352"/>
      <c r="I123" s="352"/>
      <c r="J123" s="352"/>
      <c r="K123" s="352"/>
      <c r="L123" s="357">
        <v>7500</v>
      </c>
      <c r="M123" s="358"/>
      <c r="N123" s="358"/>
      <c r="O123" s="358"/>
      <c r="P123" s="215" t="s">
        <v>457</v>
      </c>
    </row>
    <row r="124" spans="1:16" s="138" customFormat="1" ht="15" customHeight="1">
      <c r="A124" s="348">
        <v>81003</v>
      </c>
      <c r="B124" s="349">
        <v>3322</v>
      </c>
      <c r="C124" s="361" t="s">
        <v>420</v>
      </c>
      <c r="D124" s="362"/>
      <c r="E124" s="362"/>
      <c r="F124" s="352"/>
      <c r="G124" s="352"/>
      <c r="H124" s="352"/>
      <c r="I124" s="352"/>
      <c r="J124" s="352"/>
      <c r="K124" s="352"/>
      <c r="L124" s="352">
        <v>2000</v>
      </c>
      <c r="M124" s="356"/>
      <c r="N124" s="356">
        <v>10000</v>
      </c>
      <c r="O124" s="356"/>
      <c r="P124" s="215" t="s">
        <v>458</v>
      </c>
    </row>
    <row r="125" spans="1:16" s="96" customFormat="1" ht="13.5" customHeight="1">
      <c r="A125" s="348"/>
      <c r="B125" s="349">
        <v>3314</v>
      </c>
      <c r="C125" s="348" t="s">
        <v>512</v>
      </c>
      <c r="D125" s="352"/>
      <c r="E125" s="352"/>
      <c r="F125" s="352"/>
      <c r="G125" s="352"/>
      <c r="H125" s="352"/>
      <c r="I125" s="352" t="e">
        <f>(H125/G125)*100</f>
        <v>#DIV/0!</v>
      </c>
      <c r="J125" s="352"/>
      <c r="K125" s="352"/>
      <c r="L125" s="352">
        <v>1320</v>
      </c>
      <c r="M125" s="363"/>
      <c r="N125" s="352"/>
      <c r="O125" s="352"/>
      <c r="P125" s="217" t="s">
        <v>459</v>
      </c>
    </row>
    <row r="126" spans="1:16" s="96" customFormat="1" ht="15">
      <c r="A126" s="348"/>
      <c r="B126" s="349">
        <v>3412</v>
      </c>
      <c r="C126" s="348" t="s">
        <v>513</v>
      </c>
      <c r="D126" s="352"/>
      <c r="E126" s="352"/>
      <c r="F126" s="352"/>
      <c r="G126" s="352"/>
      <c r="H126" s="352"/>
      <c r="I126" s="352" t="e">
        <f>(H126/G126)*100</f>
        <v>#DIV/0!</v>
      </c>
      <c r="J126" s="352"/>
      <c r="K126" s="352"/>
      <c r="L126" s="352">
        <v>3000</v>
      </c>
      <c r="M126" s="352"/>
      <c r="N126" s="352">
        <v>2000</v>
      </c>
      <c r="O126" s="352">
        <v>2000</v>
      </c>
      <c r="P126" s="218" t="s">
        <v>460</v>
      </c>
    </row>
    <row r="127" spans="1:16" s="96" customFormat="1" ht="15">
      <c r="A127" s="348">
        <v>81023</v>
      </c>
      <c r="B127" s="349">
        <v>2143</v>
      </c>
      <c r="C127" s="350" t="s">
        <v>503</v>
      </c>
      <c r="D127" s="351"/>
      <c r="E127" s="351"/>
      <c r="F127" s="352"/>
      <c r="G127" s="352"/>
      <c r="H127" s="352"/>
      <c r="I127" s="352"/>
      <c r="J127" s="352"/>
      <c r="K127" s="352"/>
      <c r="L127" s="352">
        <v>10000</v>
      </c>
      <c r="M127" s="352"/>
      <c r="N127" s="352"/>
      <c r="O127" s="352"/>
      <c r="P127" s="310" t="s">
        <v>491</v>
      </c>
    </row>
    <row r="128" spans="1:16" s="96" customFormat="1" ht="15">
      <c r="A128" s="348">
        <v>71019</v>
      </c>
      <c r="B128" s="349">
        <v>3322</v>
      </c>
      <c r="C128" s="350" t="s">
        <v>293</v>
      </c>
      <c r="D128" s="351"/>
      <c r="E128" s="351"/>
      <c r="F128" s="352"/>
      <c r="G128" s="352"/>
      <c r="H128" s="352"/>
      <c r="I128" s="352"/>
      <c r="J128" s="352"/>
      <c r="K128" s="352"/>
      <c r="L128" s="352">
        <v>25000</v>
      </c>
      <c r="M128" s="352"/>
      <c r="N128" s="352"/>
      <c r="O128" s="352"/>
      <c r="P128" s="310"/>
    </row>
    <row r="129" spans="1:16" s="96" customFormat="1" ht="15">
      <c r="A129" s="348"/>
      <c r="B129" s="349">
        <v>2212</v>
      </c>
      <c r="C129" s="361" t="s">
        <v>501</v>
      </c>
      <c r="D129" s="362"/>
      <c r="E129" s="362"/>
      <c r="F129" s="352"/>
      <c r="G129" s="352"/>
      <c r="H129" s="352"/>
      <c r="I129" s="352"/>
      <c r="J129" s="352">
        <v>90</v>
      </c>
      <c r="K129" s="352"/>
      <c r="L129" s="352">
        <v>2000</v>
      </c>
      <c r="M129" s="352"/>
      <c r="N129" s="352">
        <v>30000</v>
      </c>
      <c r="O129" s="352">
        <v>30000</v>
      </c>
      <c r="P129" s="310"/>
    </row>
    <row r="130" spans="1:16" s="96" customFormat="1" ht="15">
      <c r="A130" s="348"/>
      <c r="B130" s="349">
        <v>3322</v>
      </c>
      <c r="C130" s="361" t="s">
        <v>478</v>
      </c>
      <c r="D130" s="362"/>
      <c r="E130" s="362"/>
      <c r="F130" s="352"/>
      <c r="G130" s="352"/>
      <c r="H130" s="352"/>
      <c r="I130" s="352"/>
      <c r="J130" s="352"/>
      <c r="K130" s="352"/>
      <c r="L130" s="352">
        <v>5000</v>
      </c>
      <c r="M130" s="352"/>
      <c r="N130" s="352"/>
      <c r="O130" s="352"/>
      <c r="P130" s="310"/>
    </row>
    <row r="131" spans="1:16" s="138" customFormat="1" ht="15" customHeight="1">
      <c r="A131" s="348"/>
      <c r="B131" s="349"/>
      <c r="C131" s="364" t="s">
        <v>447</v>
      </c>
      <c r="D131" s="365">
        <f>SUM(D102:D130)</f>
        <v>0</v>
      </c>
      <c r="E131" s="365">
        <f>SUM(E102:E130)</f>
        <v>0</v>
      </c>
      <c r="F131" s="365">
        <f aca="true" t="shared" si="7" ref="F131:O131">SUM(F102:F130)</f>
        <v>33380</v>
      </c>
      <c r="G131" s="365">
        <f t="shared" si="7"/>
        <v>25862</v>
      </c>
      <c r="H131" s="365">
        <f t="shared" si="7"/>
        <v>4655.2</v>
      </c>
      <c r="I131" s="365" t="e">
        <f t="shared" si="7"/>
        <v>#DIV/0!</v>
      </c>
      <c r="J131" s="365">
        <f t="shared" si="7"/>
        <v>12504</v>
      </c>
      <c r="K131" s="365">
        <f t="shared" si="7"/>
        <v>42500</v>
      </c>
      <c r="L131" s="365">
        <f t="shared" si="7"/>
        <v>250520</v>
      </c>
      <c r="M131" s="365">
        <f t="shared" si="7"/>
        <v>0</v>
      </c>
      <c r="N131" s="365">
        <f t="shared" si="7"/>
        <v>187000</v>
      </c>
      <c r="O131" s="365">
        <f t="shared" si="7"/>
        <v>102000</v>
      </c>
      <c r="P131" s="30"/>
    </row>
    <row r="132" spans="1:16" s="138" customFormat="1" ht="7.5" customHeight="1">
      <c r="A132" s="114"/>
      <c r="B132" s="113"/>
      <c r="C132" s="134"/>
      <c r="D132" s="134"/>
      <c r="E132" s="13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112"/>
    </row>
    <row r="133" spans="1:16" s="95" customFormat="1" ht="15.75" customHeight="1">
      <c r="A133" s="151"/>
      <c r="B133" s="152"/>
      <c r="C133" s="153" t="s">
        <v>448</v>
      </c>
      <c r="D133" s="247">
        <v>44774.9</v>
      </c>
      <c r="E133" s="247">
        <v>103596.7</v>
      </c>
      <c r="F133" s="247">
        <f aca="true" t="shared" si="8" ref="F133:K133">SUM(F99,F131)</f>
        <v>152379</v>
      </c>
      <c r="G133" s="247">
        <f t="shared" si="8"/>
        <v>184400</v>
      </c>
      <c r="H133" s="247">
        <f t="shared" si="8"/>
        <v>92932.00000000001</v>
      </c>
      <c r="I133" s="247" t="e">
        <f t="shared" si="8"/>
        <v>#DIV/0!</v>
      </c>
      <c r="J133" s="247">
        <f t="shared" si="8"/>
        <v>167771</v>
      </c>
      <c r="K133" s="247">
        <f t="shared" si="8"/>
        <v>64302</v>
      </c>
      <c r="L133" s="247">
        <f>SUM(L99)</f>
        <v>79500</v>
      </c>
      <c r="M133" s="247">
        <f>SUM(M99)</f>
        <v>0</v>
      </c>
      <c r="N133" s="247">
        <f>SUM(N99)</f>
        <v>0</v>
      </c>
      <c r="O133" s="247">
        <f>SUM(O99)</f>
        <v>0</v>
      </c>
      <c r="P133" s="154"/>
    </row>
    <row r="134" spans="1:16" s="95" customFormat="1" ht="15.75" customHeight="1" hidden="1">
      <c r="A134" s="151"/>
      <c r="B134" s="152"/>
      <c r="C134" s="153" t="s">
        <v>310</v>
      </c>
      <c r="D134" s="153"/>
      <c r="E134" s="153"/>
      <c r="F134" s="247" t="e">
        <f>SUM(#REF!,#REF!)</f>
        <v>#REF!</v>
      </c>
      <c r="G134" s="247" t="e">
        <f>SUM(#REF!,#REF!)</f>
        <v>#REF!</v>
      </c>
      <c r="H134" s="247"/>
      <c r="I134" s="244" t="e">
        <f>(#REF!/G134)*100</f>
        <v>#REF!</v>
      </c>
      <c r="J134" s="244"/>
      <c r="K134" s="247" t="e">
        <f>SUM(#REF!,#REF!)</f>
        <v>#REF!</v>
      </c>
      <c r="L134" s="247"/>
      <c r="M134" s="247"/>
      <c r="N134" s="247"/>
      <c r="O134" s="247"/>
      <c r="P134" s="154"/>
    </row>
    <row r="135" spans="1:16" s="138" customFormat="1" ht="7.5" customHeight="1" thickBot="1">
      <c r="A135" s="114"/>
      <c r="B135" s="113"/>
      <c r="C135" s="134"/>
      <c r="D135" s="134"/>
      <c r="E135" s="13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112"/>
    </row>
    <row r="136" spans="1:16" s="138" customFormat="1" ht="12.75" customHeight="1" hidden="1" thickBot="1">
      <c r="A136" s="142"/>
      <c r="B136" s="143"/>
      <c r="C136" s="144"/>
      <c r="D136" s="144"/>
      <c r="E136" s="144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145"/>
    </row>
    <row r="137" spans="1:16" s="96" customFormat="1" ht="21.75" customHeight="1" thickBot="1" thickTop="1">
      <c r="A137" s="155"/>
      <c r="B137" s="122"/>
      <c r="C137" s="156" t="s">
        <v>311</v>
      </c>
      <c r="D137" s="289">
        <f>SUM(D61,D133)</f>
        <v>53047.100000000006</v>
      </c>
      <c r="E137" s="289">
        <f>SUM(E61,E133)</f>
        <v>109592.5</v>
      </c>
      <c r="F137" s="289">
        <f>SUM(F61,F133)</f>
        <v>157899</v>
      </c>
      <c r="G137" s="289">
        <f>SUM(G61,G133)</f>
        <v>193994.3</v>
      </c>
      <c r="H137" s="289">
        <f>SUM(H61,H133)</f>
        <v>97340.50000000001</v>
      </c>
      <c r="I137" s="289">
        <f>(H137/G137)*100</f>
        <v>50.176989736296385</v>
      </c>
      <c r="J137" s="289">
        <f aca="true" t="shared" si="9" ref="J137:O137">SUM(J61,J133)</f>
        <v>176207</v>
      </c>
      <c r="K137" s="289">
        <f t="shared" si="9"/>
        <v>68702</v>
      </c>
      <c r="L137" s="289">
        <f t="shared" si="9"/>
        <v>84900</v>
      </c>
      <c r="M137" s="289">
        <f t="shared" si="9"/>
        <v>4600</v>
      </c>
      <c r="N137" s="289">
        <f t="shared" si="9"/>
        <v>3200</v>
      </c>
      <c r="O137" s="289">
        <f t="shared" si="9"/>
        <v>1900</v>
      </c>
      <c r="P137" s="124"/>
    </row>
    <row r="138" spans="1:16" s="138" customFormat="1" ht="15" customHeight="1">
      <c r="A138" s="127"/>
      <c r="B138" s="157"/>
      <c r="C138" s="127"/>
      <c r="D138" s="127"/>
      <c r="E138" s="127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9"/>
    </row>
    <row r="139" spans="1:16" s="96" customFormat="1" ht="15" customHeight="1" hidden="1">
      <c r="A139" s="125"/>
      <c r="B139" s="126"/>
      <c r="C139" s="127"/>
      <c r="D139" s="127"/>
      <c r="E139" s="127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9"/>
    </row>
    <row r="140" spans="1:16" s="96" customFormat="1" ht="15" customHeight="1">
      <c r="A140" s="125"/>
      <c r="B140" s="126"/>
      <c r="C140" s="127"/>
      <c r="D140" s="127"/>
      <c r="E140" s="127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9"/>
    </row>
    <row r="141" spans="1:16" s="96" customFormat="1" ht="15" customHeight="1">
      <c r="A141" s="125"/>
      <c r="B141" s="126"/>
      <c r="C141" s="127"/>
      <c r="D141" s="127"/>
      <c r="E141" s="127"/>
      <c r="F141" s="128"/>
      <c r="G141" s="128"/>
      <c r="H141" s="128"/>
      <c r="I141" s="128"/>
      <c r="J141" s="128"/>
      <c r="K141" s="128"/>
      <c r="L141" s="128"/>
      <c r="M141" s="128"/>
      <c r="N141" s="128"/>
      <c r="O141" s="312" t="s">
        <v>488</v>
      </c>
      <c r="P141" s="129"/>
    </row>
    <row r="142" spans="1:16" s="96" customFormat="1" ht="15" customHeight="1">
      <c r="A142" s="125"/>
      <c r="B142" s="126"/>
      <c r="C142" s="127"/>
      <c r="D142" s="127"/>
      <c r="E142" s="127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9"/>
    </row>
    <row r="143" spans="1:16" s="96" customFormat="1" ht="15" customHeight="1" thickBot="1">
      <c r="A143" s="125"/>
      <c r="B143" s="126"/>
      <c r="C143" s="127"/>
      <c r="D143" s="127"/>
      <c r="E143" s="127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9"/>
    </row>
    <row r="144" spans="1:16" s="96" customFormat="1" ht="15.75">
      <c r="A144" s="101" t="s">
        <v>2</v>
      </c>
      <c r="B144" s="101" t="s">
        <v>3</v>
      </c>
      <c r="C144" s="158" t="s">
        <v>5</v>
      </c>
      <c r="D144" s="313" t="s">
        <v>7</v>
      </c>
      <c r="E144" s="10" t="s">
        <v>7</v>
      </c>
      <c r="F144" s="101" t="s">
        <v>499</v>
      </c>
      <c r="G144" s="101" t="s">
        <v>500</v>
      </c>
      <c r="H144" s="11" t="s">
        <v>7</v>
      </c>
      <c r="I144" s="101" t="s">
        <v>8</v>
      </c>
      <c r="J144" s="101" t="s">
        <v>404</v>
      </c>
      <c r="K144" s="101" t="s">
        <v>410</v>
      </c>
      <c r="L144" s="101" t="s">
        <v>6</v>
      </c>
      <c r="M144" s="101" t="s">
        <v>410</v>
      </c>
      <c r="N144" s="101" t="s">
        <v>6</v>
      </c>
      <c r="O144" s="101" t="s">
        <v>6</v>
      </c>
      <c r="P144" s="101" t="s">
        <v>403</v>
      </c>
    </row>
    <row r="145" spans="1:16" s="96" customFormat="1" ht="15.75" customHeight="1" thickBot="1">
      <c r="A145" s="102"/>
      <c r="B145" s="102"/>
      <c r="C145" s="131"/>
      <c r="D145" s="330">
        <v>2007</v>
      </c>
      <c r="E145" s="331">
        <v>2008</v>
      </c>
      <c r="F145" s="105" t="s">
        <v>405</v>
      </c>
      <c r="G145" s="105" t="s">
        <v>405</v>
      </c>
      <c r="H145" s="14" t="s">
        <v>433</v>
      </c>
      <c r="I145" s="105" t="s">
        <v>234</v>
      </c>
      <c r="J145" s="105" t="s">
        <v>405</v>
      </c>
      <c r="K145" s="105" t="s">
        <v>402</v>
      </c>
      <c r="L145" s="105" t="s">
        <v>402</v>
      </c>
      <c r="M145" s="105" t="s">
        <v>440</v>
      </c>
      <c r="N145" s="105" t="s">
        <v>440</v>
      </c>
      <c r="O145" s="105" t="s">
        <v>441</v>
      </c>
      <c r="P145" s="105"/>
    </row>
    <row r="146" spans="1:16" s="96" customFormat="1" ht="16.5" customHeight="1" thickTop="1">
      <c r="A146" s="106">
        <v>30</v>
      </c>
      <c r="B146" s="106"/>
      <c r="C146" s="159" t="s">
        <v>62</v>
      </c>
      <c r="D146" s="108"/>
      <c r="E146" s="108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132"/>
    </row>
    <row r="147" spans="1:16" s="96" customFormat="1" ht="16.5" customHeight="1">
      <c r="A147" s="160">
        <v>31</v>
      </c>
      <c r="B147" s="160"/>
      <c r="C147" s="127"/>
      <c r="D147" s="142"/>
      <c r="E147" s="110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112"/>
    </row>
    <row r="148" spans="1:16" s="96" customFormat="1" ht="15">
      <c r="A148" s="161"/>
      <c r="B148" s="161">
        <v>2212</v>
      </c>
      <c r="C148" s="134" t="s">
        <v>312</v>
      </c>
      <c r="D148" s="244">
        <v>7483</v>
      </c>
      <c r="E148" s="244">
        <v>5633.9</v>
      </c>
      <c r="F148" s="299">
        <v>8040</v>
      </c>
      <c r="G148" s="299">
        <v>7587</v>
      </c>
      <c r="H148" s="299">
        <v>5830.8</v>
      </c>
      <c r="I148" s="244">
        <f aca="true" t="shared" si="10" ref="I148:I161">(H148/G148)*100</f>
        <v>76.8525108738632</v>
      </c>
      <c r="J148" s="244">
        <v>7687</v>
      </c>
      <c r="K148" s="299">
        <v>8250</v>
      </c>
      <c r="L148" s="300">
        <v>8700</v>
      </c>
      <c r="M148" s="300">
        <v>8460</v>
      </c>
      <c r="N148" s="300">
        <v>11500</v>
      </c>
      <c r="O148" s="300">
        <v>11500</v>
      </c>
      <c r="P148" s="162"/>
    </row>
    <row r="149" spans="1:16" s="96" customFormat="1" ht="15">
      <c r="A149" s="161"/>
      <c r="B149" s="161">
        <v>2219</v>
      </c>
      <c r="C149" s="134" t="s">
        <v>313</v>
      </c>
      <c r="D149" s="244">
        <v>5426.3</v>
      </c>
      <c r="E149" s="244">
        <v>7177.6</v>
      </c>
      <c r="F149" s="244">
        <v>6100</v>
      </c>
      <c r="G149" s="244">
        <v>7506</v>
      </c>
      <c r="H149" s="244">
        <v>5488.8</v>
      </c>
      <c r="I149" s="244">
        <f t="shared" si="10"/>
        <v>73.12549960031974</v>
      </c>
      <c r="J149" s="244">
        <v>6800</v>
      </c>
      <c r="K149" s="244">
        <v>6400</v>
      </c>
      <c r="L149" s="292">
        <v>4900</v>
      </c>
      <c r="M149" s="292">
        <v>6800</v>
      </c>
      <c r="N149" s="292">
        <v>6400</v>
      </c>
      <c r="O149" s="292">
        <v>6600</v>
      </c>
      <c r="P149" s="112"/>
    </row>
    <row r="150" spans="1:16" s="96" customFormat="1" ht="15">
      <c r="A150" s="161"/>
      <c r="B150" s="161">
        <v>2221</v>
      </c>
      <c r="C150" s="134" t="s">
        <v>314</v>
      </c>
      <c r="D150" s="244">
        <v>188.9</v>
      </c>
      <c r="E150" s="244">
        <v>0</v>
      </c>
      <c r="F150" s="244">
        <v>0</v>
      </c>
      <c r="G150" s="244">
        <v>34</v>
      </c>
      <c r="H150" s="244">
        <v>33.7</v>
      </c>
      <c r="I150" s="244">
        <f t="shared" si="10"/>
        <v>99.11764705882354</v>
      </c>
      <c r="J150" s="244">
        <v>34</v>
      </c>
      <c r="K150" s="244">
        <v>0</v>
      </c>
      <c r="L150" s="292">
        <v>0</v>
      </c>
      <c r="M150" s="292">
        <v>0</v>
      </c>
      <c r="N150" s="292">
        <v>0</v>
      </c>
      <c r="O150" s="292">
        <v>0</v>
      </c>
      <c r="P150" s="112"/>
    </row>
    <row r="151" spans="1:16" s="96" customFormat="1" ht="15">
      <c r="A151" s="161"/>
      <c r="B151" s="161">
        <v>2229</v>
      </c>
      <c r="C151" s="134" t="s">
        <v>315</v>
      </c>
      <c r="D151" s="244">
        <v>1541</v>
      </c>
      <c r="E151" s="244">
        <v>889.9</v>
      </c>
      <c r="F151" s="244">
        <v>0</v>
      </c>
      <c r="G151" s="244">
        <v>500</v>
      </c>
      <c r="H151" s="244">
        <v>218.9</v>
      </c>
      <c r="I151" s="244">
        <f t="shared" si="10"/>
        <v>43.78</v>
      </c>
      <c r="J151" s="244">
        <v>500</v>
      </c>
      <c r="K151" s="244">
        <v>50</v>
      </c>
      <c r="L151" s="292">
        <v>50</v>
      </c>
      <c r="M151" s="292">
        <v>50</v>
      </c>
      <c r="N151" s="292">
        <v>50</v>
      </c>
      <c r="O151" s="292">
        <v>50</v>
      </c>
      <c r="P151" s="112"/>
    </row>
    <row r="152" spans="1:16" s="96" customFormat="1" ht="15">
      <c r="A152" s="114"/>
      <c r="B152" s="161">
        <v>3341</v>
      </c>
      <c r="C152" s="125" t="s">
        <v>316</v>
      </c>
      <c r="D152" s="248">
        <v>39.2</v>
      </c>
      <c r="E152" s="244">
        <v>0</v>
      </c>
      <c r="F152" s="244">
        <v>30</v>
      </c>
      <c r="G152" s="244">
        <v>30</v>
      </c>
      <c r="H152" s="244">
        <v>14.4</v>
      </c>
      <c r="I152" s="244">
        <f t="shared" si="10"/>
        <v>48.00000000000001</v>
      </c>
      <c r="J152" s="244">
        <v>30</v>
      </c>
      <c r="K152" s="244">
        <v>30</v>
      </c>
      <c r="L152" s="292">
        <v>30</v>
      </c>
      <c r="M152" s="292">
        <v>30</v>
      </c>
      <c r="N152" s="292">
        <v>30</v>
      </c>
      <c r="O152" s="292">
        <v>30</v>
      </c>
      <c r="P152" s="112"/>
    </row>
    <row r="153" spans="1:16" s="96" customFormat="1" ht="15" hidden="1">
      <c r="A153" s="114"/>
      <c r="B153" s="161">
        <v>3349</v>
      </c>
      <c r="C153" s="134" t="s">
        <v>317</v>
      </c>
      <c r="D153" s="244"/>
      <c r="E153" s="244"/>
      <c r="F153" s="244">
        <v>0</v>
      </c>
      <c r="G153" s="244">
        <v>0</v>
      </c>
      <c r="H153" s="244"/>
      <c r="I153" s="244" t="e">
        <f t="shared" si="10"/>
        <v>#DIV/0!</v>
      </c>
      <c r="J153" s="244"/>
      <c r="K153" s="244"/>
      <c r="L153" s="292"/>
      <c r="M153" s="292"/>
      <c r="N153" s="292"/>
      <c r="O153" s="292"/>
      <c r="P153" s="112"/>
    </row>
    <row r="154" spans="1:16" s="96" customFormat="1" ht="15">
      <c r="A154" s="114"/>
      <c r="B154" s="161">
        <v>3631</v>
      </c>
      <c r="C154" s="134" t="s">
        <v>318</v>
      </c>
      <c r="D154" s="244">
        <v>6563.5</v>
      </c>
      <c r="E154" s="244">
        <v>7276.2</v>
      </c>
      <c r="F154" s="244">
        <v>7020</v>
      </c>
      <c r="G154" s="244">
        <v>7020</v>
      </c>
      <c r="H154" s="244">
        <v>5095.2</v>
      </c>
      <c r="I154" s="244">
        <f t="shared" si="10"/>
        <v>72.58119658119658</v>
      </c>
      <c r="J154" s="244">
        <v>7020</v>
      </c>
      <c r="K154" s="244">
        <v>7270</v>
      </c>
      <c r="L154" s="292">
        <v>9570</v>
      </c>
      <c r="M154" s="292">
        <v>7470</v>
      </c>
      <c r="N154" s="292">
        <v>14120</v>
      </c>
      <c r="O154" s="292">
        <v>14220</v>
      </c>
      <c r="P154" s="112"/>
    </row>
    <row r="155" spans="1:16" s="96" customFormat="1" ht="15">
      <c r="A155" s="114"/>
      <c r="B155" s="161">
        <v>3632</v>
      </c>
      <c r="C155" s="125" t="s">
        <v>319</v>
      </c>
      <c r="D155" s="248">
        <v>854.9</v>
      </c>
      <c r="E155" s="244">
        <v>1100.3</v>
      </c>
      <c r="F155" s="244">
        <v>531</v>
      </c>
      <c r="G155" s="244">
        <v>711</v>
      </c>
      <c r="H155" s="244">
        <v>324.8</v>
      </c>
      <c r="I155" s="244">
        <f t="shared" si="10"/>
        <v>45.68213783403657</v>
      </c>
      <c r="J155" s="244">
        <v>631</v>
      </c>
      <c r="K155" s="244">
        <v>718</v>
      </c>
      <c r="L155" s="292">
        <v>641</v>
      </c>
      <c r="M155" s="292">
        <v>726</v>
      </c>
      <c r="N155" s="292">
        <v>726</v>
      </c>
      <c r="O155" s="292">
        <v>731</v>
      </c>
      <c r="P155" s="112"/>
    </row>
    <row r="156" spans="1:16" s="96" customFormat="1" ht="15">
      <c r="A156" s="114"/>
      <c r="B156" s="161">
        <v>3722</v>
      </c>
      <c r="C156" s="134" t="s">
        <v>320</v>
      </c>
      <c r="D156" s="244">
        <v>17237.8</v>
      </c>
      <c r="E156" s="244">
        <v>18387.2</v>
      </c>
      <c r="F156" s="244">
        <v>18560</v>
      </c>
      <c r="G156" s="244">
        <v>19460</v>
      </c>
      <c r="H156" s="244">
        <v>14047.8</v>
      </c>
      <c r="I156" s="244">
        <f t="shared" si="10"/>
        <v>72.18807810894141</v>
      </c>
      <c r="J156" s="244">
        <v>19460</v>
      </c>
      <c r="K156" s="244">
        <v>19060</v>
      </c>
      <c r="L156" s="292">
        <v>25060</v>
      </c>
      <c r="M156" s="292">
        <v>19560</v>
      </c>
      <c r="N156" s="292">
        <v>25060</v>
      </c>
      <c r="O156" s="292">
        <v>25060</v>
      </c>
      <c r="P156" s="112"/>
    </row>
    <row r="157" spans="1:16" s="96" customFormat="1" ht="15">
      <c r="A157" s="114"/>
      <c r="B157" s="161">
        <v>3745</v>
      </c>
      <c r="C157" s="134" t="s">
        <v>321</v>
      </c>
      <c r="D157" s="244">
        <v>10887</v>
      </c>
      <c r="E157" s="244">
        <v>14418.9</v>
      </c>
      <c r="F157" s="244">
        <v>11900</v>
      </c>
      <c r="G157" s="244">
        <v>16145</v>
      </c>
      <c r="H157" s="244">
        <v>11667.8</v>
      </c>
      <c r="I157" s="244">
        <f t="shared" si="10"/>
        <v>72.26881387426447</v>
      </c>
      <c r="J157" s="244">
        <v>14567</v>
      </c>
      <c r="K157" s="244">
        <v>9225</v>
      </c>
      <c r="L157" s="292">
        <v>11963</v>
      </c>
      <c r="M157" s="292">
        <v>9826</v>
      </c>
      <c r="N157" s="292">
        <v>13546</v>
      </c>
      <c r="O157" s="292">
        <v>13656</v>
      </c>
      <c r="P157" s="112"/>
    </row>
    <row r="158" spans="1:16" s="96" customFormat="1" ht="15">
      <c r="A158" s="114"/>
      <c r="B158" s="161">
        <v>5512</v>
      </c>
      <c r="C158" s="125" t="s">
        <v>322</v>
      </c>
      <c r="D158" s="248">
        <v>2759.1</v>
      </c>
      <c r="E158" s="244">
        <v>4191.2</v>
      </c>
      <c r="F158" s="244">
        <v>2464</v>
      </c>
      <c r="G158" s="244">
        <v>2464</v>
      </c>
      <c r="H158" s="244">
        <v>2041.8</v>
      </c>
      <c r="I158" s="244">
        <f t="shared" si="10"/>
        <v>82.86525974025973</v>
      </c>
      <c r="J158" s="244">
        <v>2464</v>
      </c>
      <c r="K158" s="244">
        <v>1824</v>
      </c>
      <c r="L158" s="244">
        <v>3529</v>
      </c>
      <c r="M158" s="244">
        <v>1884</v>
      </c>
      <c r="N158" s="244">
        <v>3234</v>
      </c>
      <c r="O158" s="244">
        <v>1894</v>
      </c>
      <c r="P158" s="112"/>
    </row>
    <row r="159" spans="1:16" s="96" customFormat="1" ht="15.75" customHeight="1">
      <c r="A159" s="114"/>
      <c r="B159" s="161">
        <v>6112</v>
      </c>
      <c r="C159" s="134" t="s">
        <v>323</v>
      </c>
      <c r="D159" s="244">
        <v>4656.5</v>
      </c>
      <c r="E159" s="244">
        <v>3873.7</v>
      </c>
      <c r="F159" s="244">
        <v>4940</v>
      </c>
      <c r="G159" s="244">
        <v>4940</v>
      </c>
      <c r="H159" s="244">
        <v>2756.6</v>
      </c>
      <c r="I159" s="244">
        <f t="shared" si="10"/>
        <v>55.80161943319838</v>
      </c>
      <c r="J159" s="244">
        <v>4940</v>
      </c>
      <c r="K159" s="244">
        <v>4940</v>
      </c>
      <c r="L159" s="244">
        <v>4600</v>
      </c>
      <c r="M159" s="244">
        <v>4940</v>
      </c>
      <c r="N159" s="244">
        <v>4940</v>
      </c>
      <c r="O159" s="244">
        <v>4940</v>
      </c>
      <c r="P159" s="112"/>
    </row>
    <row r="160" spans="1:16" s="96" customFormat="1" ht="15.75" customHeight="1">
      <c r="A160" s="114"/>
      <c r="B160" s="161">
        <v>6117</v>
      </c>
      <c r="C160" s="134" t="s">
        <v>476</v>
      </c>
      <c r="D160" s="244">
        <v>0</v>
      </c>
      <c r="E160" s="244">
        <v>400.7</v>
      </c>
      <c r="F160" s="244">
        <v>0</v>
      </c>
      <c r="G160" s="244">
        <v>460</v>
      </c>
      <c r="H160" s="244">
        <v>381</v>
      </c>
      <c r="I160" s="244">
        <f t="shared" si="10"/>
        <v>82.82608695652173</v>
      </c>
      <c r="J160" s="244">
        <v>381</v>
      </c>
      <c r="K160" s="244">
        <v>0</v>
      </c>
      <c r="L160" s="244">
        <v>0</v>
      </c>
      <c r="M160" s="244">
        <v>0</v>
      </c>
      <c r="N160" s="244">
        <v>0</v>
      </c>
      <c r="O160" s="244">
        <v>0</v>
      </c>
      <c r="P160" s="112"/>
    </row>
    <row r="161" spans="1:16" s="96" customFormat="1" ht="17.25" customHeight="1">
      <c r="A161" s="161" t="s">
        <v>324</v>
      </c>
      <c r="B161" s="161">
        <v>6171</v>
      </c>
      <c r="C161" s="134" t="s">
        <v>325</v>
      </c>
      <c r="D161" s="244">
        <v>85995.8</v>
      </c>
      <c r="E161" s="244">
        <v>92437.9</v>
      </c>
      <c r="F161" s="244">
        <v>93461</v>
      </c>
      <c r="G161" s="244">
        <v>100579</v>
      </c>
      <c r="H161" s="244">
        <v>63021.9</v>
      </c>
      <c r="I161" s="244">
        <f t="shared" si="10"/>
        <v>62.659103789061334</v>
      </c>
      <c r="J161" s="244">
        <v>100374</v>
      </c>
      <c r="K161" s="244">
        <v>97661</v>
      </c>
      <c r="L161" s="244">
        <v>91721</v>
      </c>
      <c r="M161" s="244">
        <v>99632</v>
      </c>
      <c r="N161" s="244">
        <v>102082</v>
      </c>
      <c r="O161" s="244">
        <v>103169</v>
      </c>
      <c r="P161" s="112"/>
    </row>
    <row r="162" spans="1:16" s="96" customFormat="1" ht="15" customHeight="1" thickBot="1">
      <c r="A162" s="163"/>
      <c r="B162" s="164"/>
      <c r="C162" s="333" t="s">
        <v>494</v>
      </c>
      <c r="D162" s="245">
        <v>862.4</v>
      </c>
      <c r="E162" s="287"/>
      <c r="F162" s="245"/>
      <c r="G162" s="245"/>
      <c r="H162" s="245"/>
      <c r="I162" s="244"/>
      <c r="J162" s="245"/>
      <c r="K162" s="245"/>
      <c r="L162" s="245"/>
      <c r="M162" s="245"/>
      <c r="N162" s="245"/>
      <c r="O162" s="245"/>
      <c r="P162" s="166"/>
    </row>
    <row r="163" spans="1:16" s="96" customFormat="1" ht="21.75" customHeight="1" thickBot="1" thickTop="1">
      <c r="A163" s="155"/>
      <c r="B163" s="167"/>
      <c r="C163" s="168" t="s">
        <v>326</v>
      </c>
      <c r="D163" s="289">
        <f>SUM(D148:D162)</f>
        <v>144495.4</v>
      </c>
      <c r="E163" s="289">
        <f>SUM(E148:E162)</f>
        <v>155787.5</v>
      </c>
      <c r="F163" s="289">
        <f>SUM(F148:F162)</f>
        <v>153046</v>
      </c>
      <c r="G163" s="289">
        <f>SUM(G148:G162)</f>
        <v>167436</v>
      </c>
      <c r="H163" s="289">
        <f>SUM(H148:H162)</f>
        <v>110923.5</v>
      </c>
      <c r="I163" s="289">
        <f>(H163/G163)*100</f>
        <v>66.24829785709167</v>
      </c>
      <c r="J163" s="289">
        <f aca="true" t="shared" si="11" ref="J163:O163">SUM(J148:J162)</f>
        <v>164888</v>
      </c>
      <c r="K163" s="289">
        <f t="shared" si="11"/>
        <v>155428</v>
      </c>
      <c r="L163" s="289">
        <f t="shared" si="11"/>
        <v>160764</v>
      </c>
      <c r="M163" s="289">
        <f t="shared" si="11"/>
        <v>159378</v>
      </c>
      <c r="N163" s="289">
        <f t="shared" si="11"/>
        <v>181688</v>
      </c>
      <c r="O163" s="289">
        <f t="shared" si="11"/>
        <v>181850</v>
      </c>
      <c r="P163" s="124"/>
    </row>
    <row r="164" spans="1:16" s="96" customFormat="1" ht="15" customHeight="1">
      <c r="A164" s="125"/>
      <c r="B164" s="126"/>
      <c r="C164" s="127"/>
      <c r="D164" s="127"/>
      <c r="E164" s="127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9"/>
    </row>
    <row r="165" spans="1:16" s="96" customFormat="1" ht="15" customHeight="1" hidden="1">
      <c r="A165" s="125"/>
      <c r="B165" s="126"/>
      <c r="C165" s="127"/>
      <c r="D165" s="127"/>
      <c r="E165" s="127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9"/>
    </row>
    <row r="166" spans="1:16" s="96" customFormat="1" ht="15" customHeight="1" thickBot="1">
      <c r="A166" s="125"/>
      <c r="B166" s="126"/>
      <c r="C166" s="127"/>
      <c r="D166" s="127"/>
      <c r="E166" s="127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9"/>
    </row>
    <row r="167" spans="1:16" s="96" customFormat="1" ht="15.75">
      <c r="A167" s="101" t="s">
        <v>2</v>
      </c>
      <c r="B167" s="100" t="s">
        <v>3</v>
      </c>
      <c r="C167" s="101" t="s">
        <v>5</v>
      </c>
      <c r="D167" s="313" t="s">
        <v>7</v>
      </c>
      <c r="E167" s="10" t="s">
        <v>7</v>
      </c>
      <c r="F167" s="101" t="s">
        <v>499</v>
      </c>
      <c r="G167" s="101" t="s">
        <v>500</v>
      </c>
      <c r="H167" s="11" t="s">
        <v>7</v>
      </c>
      <c r="I167" s="101" t="s">
        <v>8</v>
      </c>
      <c r="J167" s="101" t="s">
        <v>404</v>
      </c>
      <c r="K167" s="101" t="s">
        <v>410</v>
      </c>
      <c r="L167" s="101" t="s">
        <v>6</v>
      </c>
      <c r="M167" s="101" t="s">
        <v>410</v>
      </c>
      <c r="N167" s="101" t="s">
        <v>6</v>
      </c>
      <c r="O167" s="101" t="s">
        <v>6</v>
      </c>
      <c r="P167" s="101" t="s">
        <v>403</v>
      </c>
    </row>
    <row r="168" spans="1:16" s="96" customFormat="1" ht="15.75" customHeight="1" thickBot="1">
      <c r="A168" s="102"/>
      <c r="B168" s="103"/>
      <c r="C168" s="104"/>
      <c r="D168" s="330">
        <v>2007</v>
      </c>
      <c r="E168" s="331">
        <v>2008</v>
      </c>
      <c r="F168" s="105" t="s">
        <v>405</v>
      </c>
      <c r="G168" s="105" t="s">
        <v>405</v>
      </c>
      <c r="H168" s="14" t="s">
        <v>433</v>
      </c>
      <c r="I168" s="105" t="s">
        <v>234</v>
      </c>
      <c r="J168" s="105" t="s">
        <v>405</v>
      </c>
      <c r="K168" s="105" t="s">
        <v>402</v>
      </c>
      <c r="L168" s="105" t="s">
        <v>402</v>
      </c>
      <c r="M168" s="105" t="s">
        <v>440</v>
      </c>
      <c r="N168" s="105" t="s">
        <v>440</v>
      </c>
      <c r="O168" s="105" t="s">
        <v>441</v>
      </c>
      <c r="P168" s="105"/>
    </row>
    <row r="169" spans="1:16" s="96" customFormat="1" ht="16.5" thickTop="1">
      <c r="A169" s="106">
        <v>50</v>
      </c>
      <c r="B169" s="107"/>
      <c r="C169" s="108" t="s">
        <v>107</v>
      </c>
      <c r="D169" s="108"/>
      <c r="E169" s="108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132"/>
    </row>
    <row r="170" spans="1:16" s="96" customFormat="1" ht="14.25" customHeight="1">
      <c r="A170" s="106"/>
      <c r="B170" s="107"/>
      <c r="C170" s="108"/>
      <c r="D170" s="108"/>
      <c r="E170" s="108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132"/>
    </row>
    <row r="171" spans="1:16" s="96" customFormat="1" ht="15">
      <c r="A171" s="114"/>
      <c r="B171" s="113">
        <v>3541</v>
      </c>
      <c r="C171" s="114" t="s">
        <v>327</v>
      </c>
      <c r="D171" s="244">
        <v>350</v>
      </c>
      <c r="E171" s="244">
        <v>350</v>
      </c>
      <c r="F171" s="293">
        <v>200</v>
      </c>
      <c r="G171" s="293">
        <v>200</v>
      </c>
      <c r="H171" s="293">
        <v>200</v>
      </c>
      <c r="I171" s="244">
        <f aca="true" t="shared" si="12" ref="I171:I200">(H171/G171)*100</f>
        <v>100</v>
      </c>
      <c r="J171" s="244">
        <v>200</v>
      </c>
      <c r="K171" s="293">
        <v>200</v>
      </c>
      <c r="L171" s="293">
        <v>200</v>
      </c>
      <c r="M171" s="293">
        <v>200</v>
      </c>
      <c r="N171" s="293">
        <v>200</v>
      </c>
      <c r="O171" s="293">
        <v>200</v>
      </c>
      <c r="P171" s="135"/>
    </row>
    <row r="172" spans="1:16" s="96" customFormat="1" ht="15">
      <c r="A172" s="114"/>
      <c r="B172" s="113">
        <v>3599</v>
      </c>
      <c r="C172" s="114" t="s">
        <v>328</v>
      </c>
      <c r="D172" s="244">
        <v>112.3</v>
      </c>
      <c r="E172" s="244">
        <v>121.9</v>
      </c>
      <c r="F172" s="293">
        <v>140</v>
      </c>
      <c r="G172" s="293">
        <v>140</v>
      </c>
      <c r="H172" s="293">
        <v>91.8</v>
      </c>
      <c r="I172" s="244">
        <f t="shared" si="12"/>
        <v>65.57142857142857</v>
      </c>
      <c r="J172" s="244">
        <v>140</v>
      </c>
      <c r="K172" s="293">
        <v>140</v>
      </c>
      <c r="L172" s="293">
        <v>140</v>
      </c>
      <c r="M172" s="293">
        <v>140</v>
      </c>
      <c r="N172" s="293">
        <v>140</v>
      </c>
      <c r="O172" s="293">
        <v>140</v>
      </c>
      <c r="P172" s="135"/>
    </row>
    <row r="173" spans="1:16" s="96" customFormat="1" ht="15">
      <c r="A173" s="114"/>
      <c r="B173" s="113">
        <v>4171</v>
      </c>
      <c r="C173" s="114" t="s">
        <v>329</v>
      </c>
      <c r="D173" s="244">
        <v>10749.9</v>
      </c>
      <c r="E173" s="244">
        <v>9174.3</v>
      </c>
      <c r="F173" s="293">
        <v>10500</v>
      </c>
      <c r="G173" s="293">
        <v>10500</v>
      </c>
      <c r="H173" s="293">
        <v>8346.7</v>
      </c>
      <c r="I173" s="244">
        <f t="shared" si="12"/>
        <v>79.49238095238096</v>
      </c>
      <c r="J173" s="244">
        <v>10500</v>
      </c>
      <c r="K173" s="293">
        <v>10500</v>
      </c>
      <c r="L173" s="293">
        <v>15500</v>
      </c>
      <c r="M173" s="293">
        <v>10500</v>
      </c>
      <c r="N173" s="293">
        <v>15500</v>
      </c>
      <c r="O173" s="293">
        <v>15500</v>
      </c>
      <c r="P173" s="135"/>
    </row>
    <row r="174" spans="1:16" s="96" customFormat="1" ht="15">
      <c r="A174" s="114"/>
      <c r="B174" s="113">
        <v>4172</v>
      </c>
      <c r="C174" s="114" t="s">
        <v>330</v>
      </c>
      <c r="D174" s="244">
        <v>2066.4</v>
      </c>
      <c r="E174" s="244">
        <v>1572.7</v>
      </c>
      <c r="F174" s="293">
        <v>2000</v>
      </c>
      <c r="G174" s="293">
        <v>2000</v>
      </c>
      <c r="H174" s="293">
        <v>1308.7</v>
      </c>
      <c r="I174" s="244">
        <f t="shared" si="12"/>
        <v>65.435</v>
      </c>
      <c r="J174" s="244">
        <v>2000</v>
      </c>
      <c r="K174" s="293">
        <v>2000</v>
      </c>
      <c r="L174" s="293">
        <v>2000</v>
      </c>
      <c r="M174" s="293">
        <v>2000</v>
      </c>
      <c r="N174" s="293">
        <v>2000</v>
      </c>
      <c r="O174" s="293">
        <v>2000</v>
      </c>
      <c r="P174" s="135"/>
    </row>
    <row r="175" spans="1:16" s="96" customFormat="1" ht="15">
      <c r="A175" s="114"/>
      <c r="B175" s="113">
        <v>4173</v>
      </c>
      <c r="C175" s="114" t="s">
        <v>331</v>
      </c>
      <c r="D175" s="244">
        <v>227.8</v>
      </c>
      <c r="E175" s="244">
        <v>234.4</v>
      </c>
      <c r="F175" s="293">
        <v>350</v>
      </c>
      <c r="G175" s="293">
        <v>350</v>
      </c>
      <c r="H175" s="293">
        <v>179.2</v>
      </c>
      <c r="I175" s="244">
        <f t="shared" si="12"/>
        <v>51.2</v>
      </c>
      <c r="J175" s="244">
        <v>350</v>
      </c>
      <c r="K175" s="293">
        <v>350</v>
      </c>
      <c r="L175" s="293">
        <v>380</v>
      </c>
      <c r="M175" s="293">
        <v>350</v>
      </c>
      <c r="N175" s="293">
        <v>380</v>
      </c>
      <c r="O175" s="293">
        <v>380</v>
      </c>
      <c r="P175" s="135"/>
    </row>
    <row r="176" spans="1:16" s="96" customFormat="1" ht="15">
      <c r="A176" s="114"/>
      <c r="B176" s="113">
        <v>4177</v>
      </c>
      <c r="C176" s="114" t="s">
        <v>332</v>
      </c>
      <c r="D176" s="244">
        <v>51.9</v>
      </c>
      <c r="E176" s="244">
        <v>57</v>
      </c>
      <c r="F176" s="293">
        <v>80</v>
      </c>
      <c r="G176" s="293">
        <v>80</v>
      </c>
      <c r="H176" s="293">
        <v>59</v>
      </c>
      <c r="I176" s="244">
        <f t="shared" si="12"/>
        <v>73.75</v>
      </c>
      <c r="J176" s="244">
        <v>80</v>
      </c>
      <c r="K176" s="293">
        <v>80</v>
      </c>
      <c r="L176" s="293">
        <v>120</v>
      </c>
      <c r="M176" s="293">
        <v>80</v>
      </c>
      <c r="N176" s="293">
        <v>120</v>
      </c>
      <c r="O176" s="293">
        <v>120</v>
      </c>
      <c r="P176" s="135"/>
    </row>
    <row r="177" spans="1:16" s="96" customFormat="1" ht="15" hidden="1">
      <c r="A177" s="114"/>
      <c r="B177" s="113">
        <v>4179</v>
      </c>
      <c r="C177" s="114" t="s">
        <v>333</v>
      </c>
      <c r="D177" s="244"/>
      <c r="E177" s="244"/>
      <c r="F177" s="244"/>
      <c r="G177" s="244"/>
      <c r="H177" s="244"/>
      <c r="I177" s="244" t="e">
        <f t="shared" si="12"/>
        <v>#DIV/0!</v>
      </c>
      <c r="J177" s="244"/>
      <c r="K177" s="244"/>
      <c r="L177" s="244"/>
      <c r="M177" s="244"/>
      <c r="N177" s="244"/>
      <c r="O177" s="244"/>
      <c r="P177" s="112"/>
    </row>
    <row r="178" spans="1:16" s="96" customFormat="1" ht="15" hidden="1">
      <c r="A178" s="114"/>
      <c r="B178" s="113">
        <v>4181</v>
      </c>
      <c r="C178" s="114" t="s">
        <v>334</v>
      </c>
      <c r="D178" s="244"/>
      <c r="E178" s="244"/>
      <c r="F178" s="244"/>
      <c r="G178" s="244"/>
      <c r="H178" s="244"/>
      <c r="I178" s="244" t="e">
        <f t="shared" si="12"/>
        <v>#DIV/0!</v>
      </c>
      <c r="J178" s="244"/>
      <c r="K178" s="244"/>
      <c r="L178" s="244"/>
      <c r="M178" s="244"/>
      <c r="N178" s="244"/>
      <c r="O178" s="244"/>
      <c r="P178" s="112"/>
    </row>
    <row r="179" spans="1:16" s="96" customFormat="1" ht="15">
      <c r="A179" s="114"/>
      <c r="B179" s="113">
        <v>4182</v>
      </c>
      <c r="C179" s="114" t="s">
        <v>335</v>
      </c>
      <c r="D179" s="244">
        <v>4620.9</v>
      </c>
      <c r="E179" s="244">
        <v>1066.8</v>
      </c>
      <c r="F179" s="293">
        <v>1300</v>
      </c>
      <c r="G179" s="293">
        <v>1300</v>
      </c>
      <c r="H179" s="293">
        <v>415.9</v>
      </c>
      <c r="I179" s="244">
        <f t="shared" si="12"/>
        <v>31.99230769230769</v>
      </c>
      <c r="J179" s="244">
        <v>1300</v>
      </c>
      <c r="K179" s="293">
        <v>1300</v>
      </c>
      <c r="L179" s="293">
        <v>750</v>
      </c>
      <c r="M179" s="293">
        <v>1300</v>
      </c>
      <c r="N179" s="293">
        <v>750</v>
      </c>
      <c r="O179" s="293">
        <v>750</v>
      </c>
      <c r="P179" s="135"/>
    </row>
    <row r="180" spans="1:16" s="96" customFormat="1" ht="15">
      <c r="A180" s="114"/>
      <c r="B180" s="113">
        <v>4183</v>
      </c>
      <c r="C180" s="114" t="s">
        <v>336</v>
      </c>
      <c r="D180" s="244">
        <v>516.5</v>
      </c>
      <c r="E180" s="244">
        <v>303.3</v>
      </c>
      <c r="F180" s="293">
        <v>750</v>
      </c>
      <c r="G180" s="293">
        <v>750</v>
      </c>
      <c r="H180" s="293">
        <v>150</v>
      </c>
      <c r="I180" s="244">
        <f t="shared" si="12"/>
        <v>20</v>
      </c>
      <c r="J180" s="244">
        <v>750</v>
      </c>
      <c r="K180" s="293">
        <v>750</v>
      </c>
      <c r="L180" s="293">
        <v>750</v>
      </c>
      <c r="M180" s="293">
        <v>750</v>
      </c>
      <c r="N180" s="293">
        <v>750</v>
      </c>
      <c r="O180" s="293">
        <v>750</v>
      </c>
      <c r="P180" s="135"/>
    </row>
    <row r="181" spans="1:16" s="96" customFormat="1" ht="15">
      <c r="A181" s="114"/>
      <c r="B181" s="113">
        <v>4184</v>
      </c>
      <c r="C181" s="114" t="s">
        <v>337</v>
      </c>
      <c r="D181" s="244">
        <v>3367.9</v>
      </c>
      <c r="E181" s="244">
        <v>2692.1</v>
      </c>
      <c r="F181" s="293">
        <v>3500</v>
      </c>
      <c r="G181" s="293">
        <v>3500</v>
      </c>
      <c r="H181" s="293">
        <v>1824.6</v>
      </c>
      <c r="I181" s="244">
        <f t="shared" si="12"/>
        <v>52.13142857142857</v>
      </c>
      <c r="J181" s="244">
        <v>3500</v>
      </c>
      <c r="K181" s="293">
        <v>3500</v>
      </c>
      <c r="L181" s="293">
        <v>3500</v>
      </c>
      <c r="M181" s="293">
        <v>3500</v>
      </c>
      <c r="N181" s="293">
        <v>3500</v>
      </c>
      <c r="O181" s="293">
        <v>3500</v>
      </c>
      <c r="P181" s="135"/>
    </row>
    <row r="182" spans="1:16" s="96" customFormat="1" ht="15">
      <c r="A182" s="114"/>
      <c r="B182" s="113">
        <v>4185</v>
      </c>
      <c r="C182" s="114" t="s">
        <v>338</v>
      </c>
      <c r="D182" s="244">
        <v>4389.7</v>
      </c>
      <c r="E182" s="244">
        <v>4671.8</v>
      </c>
      <c r="F182" s="293">
        <v>7200</v>
      </c>
      <c r="G182" s="293">
        <v>7200</v>
      </c>
      <c r="H182" s="293">
        <v>4950.1</v>
      </c>
      <c r="I182" s="244">
        <f t="shared" si="12"/>
        <v>68.7513888888889</v>
      </c>
      <c r="J182" s="244">
        <v>7200</v>
      </c>
      <c r="K182" s="293">
        <v>7200</v>
      </c>
      <c r="L182" s="293">
        <v>7000</v>
      </c>
      <c r="M182" s="293">
        <v>7200</v>
      </c>
      <c r="N182" s="293">
        <v>7000</v>
      </c>
      <c r="O182" s="293">
        <v>7000</v>
      </c>
      <c r="P182" s="135"/>
    </row>
    <row r="183" spans="1:16" s="96" customFormat="1" ht="15">
      <c r="A183" s="114"/>
      <c r="B183" s="113">
        <v>4186</v>
      </c>
      <c r="C183" s="114" t="s">
        <v>339</v>
      </c>
      <c r="D183" s="244">
        <v>89.1</v>
      </c>
      <c r="E183" s="244">
        <v>58.6</v>
      </c>
      <c r="F183" s="293">
        <v>120</v>
      </c>
      <c r="G183" s="293">
        <v>120</v>
      </c>
      <c r="H183" s="293">
        <v>37.3</v>
      </c>
      <c r="I183" s="244">
        <f t="shared" si="12"/>
        <v>31.08333333333333</v>
      </c>
      <c r="J183" s="244">
        <v>120</v>
      </c>
      <c r="K183" s="293">
        <v>120</v>
      </c>
      <c r="L183" s="293">
        <v>100</v>
      </c>
      <c r="M183" s="293">
        <v>120</v>
      </c>
      <c r="N183" s="293">
        <v>100</v>
      </c>
      <c r="O183" s="293">
        <v>100</v>
      </c>
      <c r="P183" s="135"/>
    </row>
    <row r="184" spans="1:16" s="96" customFormat="1" ht="15" hidden="1">
      <c r="A184" s="114"/>
      <c r="B184" s="113">
        <v>4189</v>
      </c>
      <c r="C184" s="114" t="s">
        <v>340</v>
      </c>
      <c r="D184" s="244"/>
      <c r="E184" s="244"/>
      <c r="F184" s="244"/>
      <c r="G184" s="244"/>
      <c r="H184" s="244"/>
      <c r="I184" s="244" t="e">
        <f t="shared" si="12"/>
        <v>#DIV/0!</v>
      </c>
      <c r="J184" s="244"/>
      <c r="K184" s="244"/>
      <c r="L184" s="244"/>
      <c r="M184" s="244"/>
      <c r="N184" s="244"/>
      <c r="O184" s="244"/>
      <c r="P184" s="112"/>
    </row>
    <row r="185" spans="1:16" s="96" customFormat="1" ht="15">
      <c r="A185" s="114"/>
      <c r="B185" s="113">
        <v>4195</v>
      </c>
      <c r="C185" s="114" t="s">
        <v>341</v>
      </c>
      <c r="D185" s="244">
        <v>81796</v>
      </c>
      <c r="E185" s="244">
        <v>95074</v>
      </c>
      <c r="F185" s="293">
        <v>77293</v>
      </c>
      <c r="G185" s="293">
        <v>91870</v>
      </c>
      <c r="H185" s="293">
        <v>73061</v>
      </c>
      <c r="I185" s="244">
        <f t="shared" si="12"/>
        <v>79.52650484380102</v>
      </c>
      <c r="J185" s="244">
        <v>100000</v>
      </c>
      <c r="K185" s="293">
        <v>77293</v>
      </c>
      <c r="L185" s="293">
        <v>105000</v>
      </c>
      <c r="M185" s="293">
        <v>77293</v>
      </c>
      <c r="N185" s="293">
        <v>105000</v>
      </c>
      <c r="O185" s="293">
        <v>105000</v>
      </c>
      <c r="P185" s="135" t="s">
        <v>414</v>
      </c>
    </row>
    <row r="186" spans="1:16" s="96" customFormat="1" ht="15">
      <c r="A186" s="169"/>
      <c r="B186" s="113">
        <v>4329</v>
      </c>
      <c r="C186" s="114" t="s">
        <v>342</v>
      </c>
      <c r="D186" s="244">
        <v>45</v>
      </c>
      <c r="E186" s="244">
        <v>50</v>
      </c>
      <c r="F186" s="293">
        <v>40</v>
      </c>
      <c r="G186" s="293">
        <v>40</v>
      </c>
      <c r="H186" s="293">
        <v>40</v>
      </c>
      <c r="I186" s="244">
        <f t="shared" si="12"/>
        <v>100</v>
      </c>
      <c r="J186" s="244">
        <v>40</v>
      </c>
      <c r="K186" s="293">
        <v>40</v>
      </c>
      <c r="L186" s="293">
        <v>40</v>
      </c>
      <c r="M186" s="293">
        <v>40</v>
      </c>
      <c r="N186" s="293">
        <v>40</v>
      </c>
      <c r="O186" s="293">
        <v>40</v>
      </c>
      <c r="P186" s="135"/>
    </row>
    <row r="187" spans="1:16" s="96" customFormat="1" ht="15">
      <c r="A187" s="114"/>
      <c r="B187" s="113">
        <v>4333</v>
      </c>
      <c r="C187" s="114" t="s">
        <v>343</v>
      </c>
      <c r="D187" s="244">
        <v>200</v>
      </c>
      <c r="E187" s="244">
        <v>250</v>
      </c>
      <c r="F187" s="293">
        <v>150</v>
      </c>
      <c r="G187" s="293">
        <v>150</v>
      </c>
      <c r="H187" s="293">
        <v>150</v>
      </c>
      <c r="I187" s="244">
        <f t="shared" si="12"/>
        <v>100</v>
      </c>
      <c r="J187" s="244">
        <v>100</v>
      </c>
      <c r="K187" s="293">
        <v>150</v>
      </c>
      <c r="L187" s="293">
        <v>100</v>
      </c>
      <c r="M187" s="293">
        <v>150</v>
      </c>
      <c r="N187" s="293">
        <v>100</v>
      </c>
      <c r="O187" s="293">
        <v>100</v>
      </c>
      <c r="P187" s="135"/>
    </row>
    <row r="188" spans="1:16" s="96" customFormat="1" ht="15" hidden="1">
      <c r="A188" s="114"/>
      <c r="B188" s="113">
        <v>4341</v>
      </c>
      <c r="C188" s="114" t="s">
        <v>344</v>
      </c>
      <c r="D188" s="244"/>
      <c r="E188" s="244"/>
      <c r="F188" s="293">
        <v>0</v>
      </c>
      <c r="G188" s="293">
        <v>0</v>
      </c>
      <c r="H188" s="293"/>
      <c r="I188" s="244" t="e">
        <f t="shared" si="12"/>
        <v>#DIV/0!</v>
      </c>
      <c r="J188" s="244"/>
      <c r="K188" s="293"/>
      <c r="L188" s="293"/>
      <c r="M188" s="293"/>
      <c r="N188" s="293"/>
      <c r="O188" s="293"/>
      <c r="P188" s="135"/>
    </row>
    <row r="189" spans="1:16" s="96" customFormat="1" ht="15">
      <c r="A189" s="114"/>
      <c r="B189" s="113">
        <v>4342</v>
      </c>
      <c r="C189" s="114" t="s">
        <v>345</v>
      </c>
      <c r="D189" s="244">
        <v>443.5</v>
      </c>
      <c r="E189" s="244">
        <v>60.6</v>
      </c>
      <c r="F189" s="293">
        <v>55</v>
      </c>
      <c r="G189" s="293">
        <v>5</v>
      </c>
      <c r="H189" s="293">
        <v>0</v>
      </c>
      <c r="I189" s="244">
        <f t="shared" si="12"/>
        <v>0</v>
      </c>
      <c r="J189" s="244">
        <v>50</v>
      </c>
      <c r="K189" s="293">
        <v>55</v>
      </c>
      <c r="L189" s="293">
        <v>50</v>
      </c>
      <c r="M189" s="293">
        <v>55</v>
      </c>
      <c r="N189" s="293">
        <v>50</v>
      </c>
      <c r="O189" s="293">
        <v>50</v>
      </c>
      <c r="P189" s="135"/>
    </row>
    <row r="190" spans="1:16" s="96" customFormat="1" ht="15">
      <c r="A190" s="114"/>
      <c r="B190" s="113">
        <v>4349</v>
      </c>
      <c r="C190" s="114" t="s">
        <v>346</v>
      </c>
      <c r="D190" s="244">
        <v>300</v>
      </c>
      <c r="E190" s="244">
        <v>484.1</v>
      </c>
      <c r="F190" s="293">
        <f>275+280</f>
        <v>555</v>
      </c>
      <c r="G190" s="293">
        <v>574.1</v>
      </c>
      <c r="H190" s="293">
        <v>574.1</v>
      </c>
      <c r="I190" s="244">
        <f t="shared" si="12"/>
        <v>100</v>
      </c>
      <c r="J190" s="244">
        <v>574.1</v>
      </c>
      <c r="K190" s="293">
        <v>275</v>
      </c>
      <c r="L190" s="293">
        <v>290</v>
      </c>
      <c r="M190" s="293">
        <v>275</v>
      </c>
      <c r="N190" s="293">
        <v>290</v>
      </c>
      <c r="O190" s="293">
        <v>290</v>
      </c>
      <c r="P190" s="135"/>
    </row>
    <row r="191" spans="1:16" s="96" customFormat="1" ht="15">
      <c r="A191" s="169"/>
      <c r="B191" s="170">
        <v>4351</v>
      </c>
      <c r="C191" s="169" t="s">
        <v>347</v>
      </c>
      <c r="D191" s="245">
        <v>1785</v>
      </c>
      <c r="E191" s="245">
        <v>2380</v>
      </c>
      <c r="F191" s="293">
        <v>1500</v>
      </c>
      <c r="G191" s="293">
        <v>1500</v>
      </c>
      <c r="H191" s="293">
        <v>1500</v>
      </c>
      <c r="I191" s="244">
        <f t="shared" si="12"/>
        <v>100</v>
      </c>
      <c r="J191" s="244">
        <v>1500</v>
      </c>
      <c r="K191" s="293">
        <v>1500</v>
      </c>
      <c r="L191" s="293">
        <v>1525</v>
      </c>
      <c r="M191" s="293">
        <v>1500</v>
      </c>
      <c r="N191" s="293">
        <v>1525</v>
      </c>
      <c r="O191" s="293">
        <v>1525</v>
      </c>
      <c r="P191" s="135"/>
    </row>
    <row r="192" spans="1:16" s="96" customFormat="1" ht="15">
      <c r="A192" s="169"/>
      <c r="B192" s="171">
        <v>4356</v>
      </c>
      <c r="C192" s="172" t="s">
        <v>348</v>
      </c>
      <c r="D192" s="343">
        <v>0</v>
      </c>
      <c r="E192" s="343">
        <v>0</v>
      </c>
      <c r="F192" s="301">
        <v>200</v>
      </c>
      <c r="G192" s="301">
        <v>200</v>
      </c>
      <c r="H192" s="301">
        <v>200</v>
      </c>
      <c r="I192" s="244">
        <f t="shared" si="12"/>
        <v>100</v>
      </c>
      <c r="J192" s="245">
        <v>200</v>
      </c>
      <c r="K192" s="301">
        <v>200</v>
      </c>
      <c r="L192" s="301">
        <v>200</v>
      </c>
      <c r="M192" s="301">
        <v>200</v>
      </c>
      <c r="N192" s="301">
        <v>200</v>
      </c>
      <c r="O192" s="301">
        <v>200</v>
      </c>
      <c r="P192" s="173"/>
    </row>
    <row r="193" spans="1:16" s="96" customFormat="1" ht="15">
      <c r="A193" s="169"/>
      <c r="B193" s="170">
        <v>4357</v>
      </c>
      <c r="C193" s="169" t="s">
        <v>349</v>
      </c>
      <c r="D193" s="245">
        <v>8515</v>
      </c>
      <c r="E193" s="245">
        <v>6500</v>
      </c>
      <c r="F193" s="293">
        <v>7300</v>
      </c>
      <c r="G193" s="293">
        <v>7300</v>
      </c>
      <c r="H193" s="293">
        <v>6770</v>
      </c>
      <c r="I193" s="244">
        <f t="shared" si="12"/>
        <v>92.73972602739727</v>
      </c>
      <c r="J193" s="244">
        <v>7300</v>
      </c>
      <c r="K193" s="293">
        <v>8200</v>
      </c>
      <c r="L193" s="293">
        <v>7700</v>
      </c>
      <c r="M193" s="293">
        <v>8500</v>
      </c>
      <c r="N193" s="293">
        <v>8500</v>
      </c>
      <c r="O193" s="293">
        <v>8500</v>
      </c>
      <c r="P193" s="135"/>
    </row>
    <row r="194" spans="1:16" s="96" customFormat="1" ht="15">
      <c r="A194" s="169"/>
      <c r="B194" s="170">
        <v>4357</v>
      </c>
      <c r="C194" s="169" t="s">
        <v>350</v>
      </c>
      <c r="D194" s="245">
        <v>0</v>
      </c>
      <c r="E194" s="245">
        <v>0</v>
      </c>
      <c r="F194" s="293">
        <v>350</v>
      </c>
      <c r="G194" s="293">
        <v>350</v>
      </c>
      <c r="H194" s="293">
        <v>350</v>
      </c>
      <c r="I194" s="244">
        <f t="shared" si="12"/>
        <v>100</v>
      </c>
      <c r="J194" s="244">
        <v>350</v>
      </c>
      <c r="K194" s="293">
        <v>350</v>
      </c>
      <c r="L194" s="293">
        <v>350</v>
      </c>
      <c r="M194" s="293">
        <v>350</v>
      </c>
      <c r="N194" s="293">
        <v>350</v>
      </c>
      <c r="O194" s="293">
        <v>350</v>
      </c>
      <c r="P194" s="135"/>
    </row>
    <row r="195" spans="1:16" s="96" customFormat="1" ht="15">
      <c r="A195" s="169"/>
      <c r="B195" s="171">
        <v>4359</v>
      </c>
      <c r="C195" s="172" t="s">
        <v>351</v>
      </c>
      <c r="D195" s="343">
        <v>0</v>
      </c>
      <c r="E195" s="343">
        <v>0</v>
      </c>
      <c r="F195" s="301">
        <v>50</v>
      </c>
      <c r="G195" s="301">
        <v>50</v>
      </c>
      <c r="H195" s="301">
        <v>50</v>
      </c>
      <c r="I195" s="244">
        <f t="shared" si="12"/>
        <v>100</v>
      </c>
      <c r="J195" s="245">
        <v>50</v>
      </c>
      <c r="K195" s="301">
        <v>120</v>
      </c>
      <c r="L195" s="301">
        <v>50</v>
      </c>
      <c r="M195" s="301">
        <v>120</v>
      </c>
      <c r="N195" s="301">
        <v>50</v>
      </c>
      <c r="O195" s="301">
        <v>50</v>
      </c>
      <c r="P195" s="173"/>
    </row>
    <row r="196" spans="1:16" s="96" customFormat="1" ht="15">
      <c r="A196" s="169"/>
      <c r="B196" s="171">
        <v>4371</v>
      </c>
      <c r="C196" s="172" t="s">
        <v>352</v>
      </c>
      <c r="D196" s="343">
        <v>0</v>
      </c>
      <c r="E196" s="343">
        <v>0</v>
      </c>
      <c r="F196" s="301">
        <v>450</v>
      </c>
      <c r="G196" s="301">
        <v>450</v>
      </c>
      <c r="H196" s="301">
        <v>450</v>
      </c>
      <c r="I196" s="244">
        <f t="shared" si="12"/>
        <v>100</v>
      </c>
      <c r="J196" s="245">
        <v>450</v>
      </c>
      <c r="K196" s="301">
        <v>0</v>
      </c>
      <c r="L196" s="301">
        <v>300</v>
      </c>
      <c r="M196" s="301">
        <v>0</v>
      </c>
      <c r="N196" s="301">
        <v>0</v>
      </c>
      <c r="O196" s="301">
        <v>0</v>
      </c>
      <c r="P196" s="173" t="s">
        <v>415</v>
      </c>
    </row>
    <row r="197" spans="1:16" s="96" customFormat="1" ht="15">
      <c r="A197" s="114"/>
      <c r="B197" s="113">
        <v>4374</v>
      </c>
      <c r="C197" s="114" t="s">
        <v>353</v>
      </c>
      <c r="D197" s="244">
        <v>900</v>
      </c>
      <c r="E197" s="244">
        <v>935</v>
      </c>
      <c r="F197" s="293">
        <v>900</v>
      </c>
      <c r="G197" s="293">
        <v>900</v>
      </c>
      <c r="H197" s="293">
        <v>900</v>
      </c>
      <c r="I197" s="244">
        <f t="shared" si="12"/>
        <v>100</v>
      </c>
      <c r="J197" s="244">
        <v>900</v>
      </c>
      <c r="K197" s="293">
        <v>900</v>
      </c>
      <c r="L197" s="293">
        <v>200</v>
      </c>
      <c r="M197" s="293">
        <v>900</v>
      </c>
      <c r="N197" s="293">
        <v>200</v>
      </c>
      <c r="O197" s="293">
        <v>200</v>
      </c>
      <c r="P197" s="135"/>
    </row>
    <row r="198" spans="1:16" s="96" customFormat="1" ht="15">
      <c r="A198" s="169"/>
      <c r="B198" s="170">
        <v>4399</v>
      </c>
      <c r="C198" s="169" t="s">
        <v>354</v>
      </c>
      <c r="D198" s="245">
        <v>228.2</v>
      </c>
      <c r="E198" s="245">
        <v>831.1</v>
      </c>
      <c r="F198" s="301">
        <v>65</v>
      </c>
      <c r="G198" s="301">
        <v>65</v>
      </c>
      <c r="H198" s="301">
        <v>3</v>
      </c>
      <c r="I198" s="244">
        <f t="shared" si="12"/>
        <v>4.615384615384616</v>
      </c>
      <c r="J198" s="245">
        <v>65</v>
      </c>
      <c r="K198" s="301">
        <v>65</v>
      </c>
      <c r="L198" s="301">
        <v>55</v>
      </c>
      <c r="M198" s="301">
        <v>65</v>
      </c>
      <c r="N198" s="301">
        <v>55</v>
      </c>
      <c r="O198" s="301">
        <v>55</v>
      </c>
      <c r="P198" s="173"/>
    </row>
    <row r="199" spans="1:16" s="96" customFormat="1" ht="15" hidden="1">
      <c r="A199" s="169"/>
      <c r="B199" s="170">
        <v>6402</v>
      </c>
      <c r="C199" s="169" t="s">
        <v>355</v>
      </c>
      <c r="D199" s="245"/>
      <c r="E199" s="245"/>
      <c r="F199" s="245">
        <v>0</v>
      </c>
      <c r="G199" s="245">
        <v>0</v>
      </c>
      <c r="H199" s="245"/>
      <c r="I199" s="244" t="e">
        <f t="shared" si="12"/>
        <v>#DIV/0!</v>
      </c>
      <c r="J199" s="245"/>
      <c r="K199" s="245"/>
      <c r="L199" s="245"/>
      <c r="M199" s="245"/>
      <c r="N199" s="245"/>
      <c r="O199" s="245"/>
      <c r="P199" s="166"/>
    </row>
    <row r="200" spans="1:16" s="96" customFormat="1" ht="15" customHeight="1">
      <c r="A200" s="169"/>
      <c r="B200" s="170">
        <v>6171</v>
      </c>
      <c r="C200" s="169" t="s">
        <v>356</v>
      </c>
      <c r="D200" s="245">
        <v>0</v>
      </c>
      <c r="E200" s="245">
        <v>0</v>
      </c>
      <c r="F200" s="245">
        <v>600</v>
      </c>
      <c r="G200" s="245">
        <v>600</v>
      </c>
      <c r="H200" s="245">
        <v>127.5</v>
      </c>
      <c r="I200" s="244">
        <f t="shared" si="12"/>
        <v>21.25</v>
      </c>
      <c r="J200" s="245">
        <v>600</v>
      </c>
      <c r="K200" s="245">
        <v>600</v>
      </c>
      <c r="L200" s="245">
        <v>600</v>
      </c>
      <c r="M200" s="245">
        <v>600</v>
      </c>
      <c r="N200" s="245">
        <v>600</v>
      </c>
      <c r="O200" s="245">
        <v>600</v>
      </c>
      <c r="P200" s="166"/>
    </row>
    <row r="201" spans="1:16" s="96" customFormat="1" ht="15" customHeight="1" thickBot="1">
      <c r="A201" s="169"/>
      <c r="B201" s="170"/>
      <c r="C201" s="169" t="s">
        <v>494</v>
      </c>
      <c r="D201" s="245">
        <f>1761+5708.3+59.4+63.2+15</f>
        <v>7606.9</v>
      </c>
      <c r="E201" s="245">
        <v>3</v>
      </c>
      <c r="F201" s="245"/>
      <c r="G201" s="245"/>
      <c r="H201" s="245"/>
      <c r="I201" s="244"/>
      <c r="J201" s="245"/>
      <c r="K201" s="245"/>
      <c r="L201" s="245"/>
      <c r="M201" s="245"/>
      <c r="N201" s="245"/>
      <c r="O201" s="245"/>
      <c r="P201" s="166"/>
    </row>
    <row r="202" spans="1:16" s="96" customFormat="1" ht="21.75" customHeight="1" thickBot="1" thickTop="1">
      <c r="A202" s="155"/>
      <c r="B202" s="122"/>
      <c r="C202" s="123" t="s">
        <v>357</v>
      </c>
      <c r="D202" s="289">
        <f>SUM(D171:D201)</f>
        <v>128361.99999999999</v>
      </c>
      <c r="E202" s="289">
        <f>SUM(E171:E201)</f>
        <v>126870.70000000001</v>
      </c>
      <c r="F202" s="289">
        <f>SUM(F171:F201)</f>
        <v>115648</v>
      </c>
      <c r="G202" s="289">
        <f>SUM(G171:G201)</f>
        <v>130194.1</v>
      </c>
      <c r="H202" s="289">
        <f>SUM(H171:H201)</f>
        <v>101738.90000000001</v>
      </c>
      <c r="I202" s="289">
        <f>(H202/G202)*100</f>
        <v>78.14401727881678</v>
      </c>
      <c r="J202" s="289">
        <f aca="true" t="shared" si="13" ref="J202:O202">SUM(J171:J201)</f>
        <v>138319.1</v>
      </c>
      <c r="K202" s="289">
        <f t="shared" si="13"/>
        <v>115888</v>
      </c>
      <c r="L202" s="289">
        <f t="shared" si="13"/>
        <v>146900</v>
      </c>
      <c r="M202" s="289">
        <f t="shared" si="13"/>
        <v>116188</v>
      </c>
      <c r="N202" s="289">
        <f t="shared" si="13"/>
        <v>147400</v>
      </c>
      <c r="O202" s="289">
        <f t="shared" si="13"/>
        <v>147400</v>
      </c>
      <c r="P202" s="124"/>
    </row>
    <row r="203" spans="1:16" s="96" customFormat="1" ht="15" customHeight="1">
      <c r="A203" s="125"/>
      <c r="B203" s="126"/>
      <c r="C203" s="127"/>
      <c r="D203" s="127"/>
      <c r="E203" s="127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1:16" s="96" customFormat="1" ht="15" customHeight="1">
      <c r="A204" s="125"/>
      <c r="B204" s="126"/>
      <c r="C204" s="127"/>
      <c r="D204" s="127"/>
      <c r="E204" s="127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9"/>
    </row>
    <row r="205" spans="1:16" s="96" customFormat="1" ht="15" customHeight="1">
      <c r="A205" s="125"/>
      <c r="B205" s="126"/>
      <c r="C205" s="127"/>
      <c r="D205" s="127"/>
      <c r="E205" s="127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9"/>
    </row>
    <row r="206" spans="1:16" s="96" customFormat="1" ht="15" customHeight="1">
      <c r="A206" s="125"/>
      <c r="B206" s="126"/>
      <c r="C206" s="127"/>
      <c r="D206" s="127"/>
      <c r="E206" s="127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9"/>
    </row>
    <row r="207" spans="1:16" s="96" customFormat="1" ht="15" customHeight="1">
      <c r="A207" s="125"/>
      <c r="B207" s="126"/>
      <c r="C207" s="127"/>
      <c r="D207" s="127"/>
      <c r="E207" s="127"/>
      <c r="F207" s="128"/>
      <c r="G207" s="128"/>
      <c r="H207" s="128"/>
      <c r="I207" s="128"/>
      <c r="J207" s="128"/>
      <c r="K207" s="128"/>
      <c r="L207" s="128"/>
      <c r="M207" s="128"/>
      <c r="N207" s="128"/>
      <c r="O207" s="312" t="s">
        <v>489</v>
      </c>
      <c r="P207" s="129"/>
    </row>
    <row r="208" spans="1:16" s="96" customFormat="1" ht="15" customHeight="1">
      <c r="A208" s="125"/>
      <c r="B208" s="126"/>
      <c r="C208" s="127"/>
      <c r="D208" s="127"/>
      <c r="E208" s="127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9"/>
    </row>
    <row r="209" spans="1:16" s="96" customFormat="1" ht="15" customHeight="1" thickBot="1">
      <c r="A209" s="125"/>
      <c r="B209" s="126"/>
      <c r="C209" s="127"/>
      <c r="D209" s="127"/>
      <c r="E209" s="127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9"/>
    </row>
    <row r="210" spans="1:16" s="96" customFormat="1" ht="15.75">
      <c r="A210" s="101" t="s">
        <v>2</v>
      </c>
      <c r="B210" s="100" t="s">
        <v>3</v>
      </c>
      <c r="C210" s="101" t="s">
        <v>5</v>
      </c>
      <c r="D210" s="313" t="s">
        <v>7</v>
      </c>
      <c r="E210" s="10" t="s">
        <v>7</v>
      </c>
      <c r="F210" s="101" t="s">
        <v>499</v>
      </c>
      <c r="G210" s="101" t="s">
        <v>500</v>
      </c>
      <c r="H210" s="11" t="s">
        <v>7</v>
      </c>
      <c r="I210" s="101" t="s">
        <v>8</v>
      </c>
      <c r="J210" s="101" t="s">
        <v>404</v>
      </c>
      <c r="K210" s="101" t="s">
        <v>410</v>
      </c>
      <c r="L210" s="101" t="s">
        <v>6</v>
      </c>
      <c r="M210" s="101" t="s">
        <v>410</v>
      </c>
      <c r="N210" s="101" t="s">
        <v>6</v>
      </c>
      <c r="O210" s="101" t="s">
        <v>6</v>
      </c>
      <c r="P210" s="101" t="s">
        <v>403</v>
      </c>
    </row>
    <row r="211" spans="1:16" s="96" customFormat="1" ht="15.75" customHeight="1" thickBot="1">
      <c r="A211" s="102"/>
      <c r="B211" s="103"/>
      <c r="C211" s="104"/>
      <c r="D211" s="330">
        <v>2007</v>
      </c>
      <c r="E211" s="331">
        <v>2008</v>
      </c>
      <c r="F211" s="105" t="s">
        <v>405</v>
      </c>
      <c r="G211" s="105" t="s">
        <v>405</v>
      </c>
      <c r="H211" s="14" t="s">
        <v>433</v>
      </c>
      <c r="I211" s="105" t="s">
        <v>234</v>
      </c>
      <c r="J211" s="105" t="s">
        <v>405</v>
      </c>
      <c r="K211" s="105" t="s">
        <v>402</v>
      </c>
      <c r="L211" s="105" t="s">
        <v>402</v>
      </c>
      <c r="M211" s="105" t="s">
        <v>440</v>
      </c>
      <c r="N211" s="105" t="s">
        <v>440</v>
      </c>
      <c r="O211" s="105" t="s">
        <v>441</v>
      </c>
      <c r="P211" s="105"/>
    </row>
    <row r="212" spans="1:16" s="96" customFormat="1" ht="16.5" thickTop="1">
      <c r="A212" s="106">
        <v>60</v>
      </c>
      <c r="B212" s="107"/>
      <c r="C212" s="108" t="s">
        <v>133</v>
      </c>
      <c r="D212" s="108"/>
      <c r="E212" s="108"/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132"/>
    </row>
    <row r="213" spans="1:16" s="96" customFormat="1" ht="15.75">
      <c r="A213" s="110"/>
      <c r="B213" s="111"/>
      <c r="C213" s="110"/>
      <c r="D213" s="110"/>
      <c r="E213" s="110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112"/>
    </row>
    <row r="214" spans="1:16" s="96" customFormat="1" ht="15">
      <c r="A214" s="114"/>
      <c r="B214" s="113">
        <v>1014</v>
      </c>
      <c r="C214" s="114" t="s">
        <v>358</v>
      </c>
      <c r="D214" s="244">
        <v>439.8</v>
      </c>
      <c r="E214" s="244">
        <v>428</v>
      </c>
      <c r="F214" s="292">
        <v>615</v>
      </c>
      <c r="G214" s="292">
        <v>605</v>
      </c>
      <c r="H214" s="292">
        <v>378.2</v>
      </c>
      <c r="I214" s="244">
        <f aca="true" t="shared" si="14" ref="I214:I228">(H214/G214)*100</f>
        <v>62.51239669421488</v>
      </c>
      <c r="J214" s="244">
        <v>590</v>
      </c>
      <c r="K214" s="292">
        <v>663</v>
      </c>
      <c r="L214" s="292">
        <v>663</v>
      </c>
      <c r="M214" s="292">
        <v>663</v>
      </c>
      <c r="N214" s="292">
        <v>687</v>
      </c>
      <c r="O214" s="292">
        <v>687</v>
      </c>
      <c r="P214" s="149"/>
    </row>
    <row r="215" spans="1:16" s="96" customFormat="1" ht="15" hidden="1">
      <c r="A215" s="169"/>
      <c r="B215" s="170">
        <v>1031</v>
      </c>
      <c r="C215" s="169" t="s">
        <v>359</v>
      </c>
      <c r="D215" s="245"/>
      <c r="E215" s="245"/>
      <c r="F215" s="298"/>
      <c r="G215" s="298"/>
      <c r="H215" s="298"/>
      <c r="I215" s="244" t="e">
        <f t="shared" si="14"/>
        <v>#DIV/0!</v>
      </c>
      <c r="J215" s="245"/>
      <c r="K215" s="298"/>
      <c r="L215" s="298"/>
      <c r="M215" s="298"/>
      <c r="N215" s="298"/>
      <c r="O215" s="298"/>
      <c r="P215" s="174"/>
    </row>
    <row r="216" spans="1:16" s="96" customFormat="1" ht="15">
      <c r="A216" s="114"/>
      <c r="B216" s="113">
        <v>1036</v>
      </c>
      <c r="C216" s="114" t="s">
        <v>360</v>
      </c>
      <c r="D216" s="244">
        <v>50.2</v>
      </c>
      <c r="E216" s="244">
        <v>52</v>
      </c>
      <c r="F216" s="292">
        <v>0</v>
      </c>
      <c r="G216" s="292">
        <v>41</v>
      </c>
      <c r="H216" s="292">
        <v>26.9</v>
      </c>
      <c r="I216" s="244">
        <f t="shared" si="14"/>
        <v>65.60975609756096</v>
      </c>
      <c r="J216" s="244">
        <v>0</v>
      </c>
      <c r="K216" s="292">
        <v>0</v>
      </c>
      <c r="L216" s="292">
        <v>0</v>
      </c>
      <c r="M216" s="292">
        <v>0</v>
      </c>
      <c r="N216" s="292">
        <v>0</v>
      </c>
      <c r="O216" s="292">
        <v>0</v>
      </c>
      <c r="P216" s="149"/>
    </row>
    <row r="217" spans="1:16" s="96" customFormat="1" ht="15" hidden="1">
      <c r="A217" s="169"/>
      <c r="B217" s="170">
        <v>1037</v>
      </c>
      <c r="C217" s="169" t="s">
        <v>361</v>
      </c>
      <c r="D217" s="245"/>
      <c r="E217" s="245"/>
      <c r="F217" s="298">
        <v>0</v>
      </c>
      <c r="G217" s="298">
        <v>0</v>
      </c>
      <c r="H217" s="298"/>
      <c r="I217" s="244" t="e">
        <f t="shared" si="14"/>
        <v>#DIV/0!</v>
      </c>
      <c r="J217" s="245"/>
      <c r="K217" s="298"/>
      <c r="L217" s="298"/>
      <c r="M217" s="298"/>
      <c r="N217" s="298"/>
      <c r="O217" s="298"/>
      <c r="P217" s="174"/>
    </row>
    <row r="218" spans="1:16" s="96" customFormat="1" ht="15">
      <c r="A218" s="169"/>
      <c r="B218" s="170">
        <v>1037</v>
      </c>
      <c r="C218" s="169" t="s">
        <v>477</v>
      </c>
      <c r="D218" s="245">
        <v>248.8</v>
      </c>
      <c r="E218" s="245">
        <v>140</v>
      </c>
      <c r="F218" s="298">
        <v>0</v>
      </c>
      <c r="G218" s="298">
        <v>305</v>
      </c>
      <c r="H218" s="298">
        <v>0</v>
      </c>
      <c r="I218" s="244">
        <f t="shared" si="14"/>
        <v>0</v>
      </c>
      <c r="J218" s="245">
        <v>305</v>
      </c>
      <c r="K218" s="298">
        <v>0</v>
      </c>
      <c r="L218" s="298">
        <v>0</v>
      </c>
      <c r="M218" s="298">
        <v>0</v>
      </c>
      <c r="N218" s="298">
        <v>0</v>
      </c>
      <c r="O218" s="298">
        <v>0</v>
      </c>
      <c r="P218" s="174"/>
    </row>
    <row r="219" spans="1:16" s="96" customFormat="1" ht="15">
      <c r="A219" s="169"/>
      <c r="B219" s="170">
        <v>1039</v>
      </c>
      <c r="C219" s="169" t="s">
        <v>362</v>
      </c>
      <c r="D219" s="245">
        <v>0</v>
      </c>
      <c r="E219" s="245">
        <v>6</v>
      </c>
      <c r="F219" s="298">
        <v>10</v>
      </c>
      <c r="G219" s="298">
        <v>0</v>
      </c>
      <c r="H219" s="298">
        <v>0</v>
      </c>
      <c r="I219" s="244" t="e">
        <f t="shared" si="14"/>
        <v>#DIV/0!</v>
      </c>
      <c r="J219" s="245">
        <v>0</v>
      </c>
      <c r="K219" s="298">
        <v>10</v>
      </c>
      <c r="L219" s="298">
        <v>10</v>
      </c>
      <c r="M219" s="298">
        <v>10</v>
      </c>
      <c r="N219" s="298">
        <v>0</v>
      </c>
      <c r="O219" s="298">
        <v>0</v>
      </c>
      <c r="P219" s="174"/>
    </row>
    <row r="220" spans="1:16" s="96" customFormat="1" ht="15" hidden="1">
      <c r="A220" s="114"/>
      <c r="B220" s="113">
        <v>2331</v>
      </c>
      <c r="C220" s="114" t="s">
        <v>363</v>
      </c>
      <c r="D220" s="244"/>
      <c r="E220" s="244"/>
      <c r="F220" s="292">
        <v>0</v>
      </c>
      <c r="G220" s="292">
        <v>0</v>
      </c>
      <c r="H220" s="292"/>
      <c r="I220" s="244" t="e">
        <f t="shared" si="14"/>
        <v>#DIV/0!</v>
      </c>
      <c r="J220" s="244"/>
      <c r="K220" s="292"/>
      <c r="L220" s="292"/>
      <c r="M220" s="292"/>
      <c r="N220" s="292"/>
      <c r="O220" s="292"/>
      <c r="P220" s="149"/>
    </row>
    <row r="221" spans="1:16" s="96" customFormat="1" ht="15" hidden="1">
      <c r="A221" s="114"/>
      <c r="B221" s="113">
        <v>2339</v>
      </c>
      <c r="C221" s="114" t="s">
        <v>364</v>
      </c>
      <c r="D221" s="244"/>
      <c r="E221" s="244"/>
      <c r="F221" s="292">
        <v>0</v>
      </c>
      <c r="G221" s="292">
        <v>0</v>
      </c>
      <c r="H221" s="292"/>
      <c r="I221" s="244" t="e">
        <f t="shared" si="14"/>
        <v>#DIV/0!</v>
      </c>
      <c r="J221" s="244"/>
      <c r="K221" s="292"/>
      <c r="L221" s="292"/>
      <c r="M221" s="292"/>
      <c r="N221" s="292"/>
      <c r="O221" s="292"/>
      <c r="P221" s="149"/>
    </row>
    <row r="222" spans="1:16" s="96" customFormat="1" ht="15" hidden="1">
      <c r="A222" s="114"/>
      <c r="B222" s="113">
        <v>2399</v>
      </c>
      <c r="C222" s="114" t="s">
        <v>365</v>
      </c>
      <c r="D222" s="244"/>
      <c r="E222" s="244"/>
      <c r="F222" s="292">
        <v>0</v>
      </c>
      <c r="G222" s="292">
        <v>0</v>
      </c>
      <c r="H222" s="292"/>
      <c r="I222" s="244" t="e">
        <f t="shared" si="14"/>
        <v>#DIV/0!</v>
      </c>
      <c r="J222" s="244"/>
      <c r="K222" s="292"/>
      <c r="L222" s="292"/>
      <c r="M222" s="292"/>
      <c r="N222" s="292"/>
      <c r="O222" s="292"/>
      <c r="P222" s="149"/>
    </row>
    <row r="223" spans="1:16" s="96" customFormat="1" ht="15" hidden="1">
      <c r="A223" s="114"/>
      <c r="B223" s="113">
        <v>3728</v>
      </c>
      <c r="C223" s="114" t="s">
        <v>366</v>
      </c>
      <c r="D223" s="244"/>
      <c r="E223" s="244"/>
      <c r="F223" s="292"/>
      <c r="G223" s="292"/>
      <c r="H223" s="292"/>
      <c r="I223" s="244" t="e">
        <f t="shared" si="14"/>
        <v>#DIV/0!</v>
      </c>
      <c r="J223" s="244"/>
      <c r="K223" s="292"/>
      <c r="L223" s="292"/>
      <c r="M223" s="292"/>
      <c r="N223" s="292"/>
      <c r="O223" s="292"/>
      <c r="P223" s="149"/>
    </row>
    <row r="224" spans="1:16" s="96" customFormat="1" ht="15" hidden="1">
      <c r="A224" s="169"/>
      <c r="B224" s="170">
        <v>3729</v>
      </c>
      <c r="C224" s="169" t="s">
        <v>367</v>
      </c>
      <c r="D224" s="245"/>
      <c r="E224" s="245"/>
      <c r="F224" s="298"/>
      <c r="G224" s="298"/>
      <c r="H224" s="298"/>
      <c r="I224" s="244" t="e">
        <f t="shared" si="14"/>
        <v>#DIV/0!</v>
      </c>
      <c r="J224" s="245"/>
      <c r="K224" s="298"/>
      <c r="L224" s="298"/>
      <c r="M224" s="298"/>
      <c r="N224" s="298"/>
      <c r="O224" s="298"/>
      <c r="P224" s="174"/>
    </row>
    <row r="225" spans="1:16" s="96" customFormat="1" ht="15">
      <c r="A225" s="169"/>
      <c r="B225" s="170">
        <v>1070</v>
      </c>
      <c r="C225" s="169" t="s">
        <v>368</v>
      </c>
      <c r="D225" s="245">
        <v>0</v>
      </c>
      <c r="E225" s="245">
        <v>0</v>
      </c>
      <c r="F225" s="298">
        <v>0</v>
      </c>
      <c r="G225" s="298">
        <v>20</v>
      </c>
      <c r="H225" s="298">
        <v>16.2</v>
      </c>
      <c r="I225" s="244">
        <f t="shared" si="14"/>
        <v>81</v>
      </c>
      <c r="J225" s="245">
        <v>20</v>
      </c>
      <c r="K225" s="298">
        <v>0</v>
      </c>
      <c r="L225" s="298">
        <v>20</v>
      </c>
      <c r="M225" s="298">
        <v>0</v>
      </c>
      <c r="N225" s="298">
        <v>20</v>
      </c>
      <c r="O225" s="298">
        <v>20</v>
      </c>
      <c r="P225" s="174"/>
    </row>
    <row r="226" spans="1:16" s="96" customFormat="1" ht="15">
      <c r="A226" s="169"/>
      <c r="B226" s="170">
        <v>3739</v>
      </c>
      <c r="C226" s="169" t="s">
        <v>369</v>
      </c>
      <c r="D226" s="245">
        <v>131.5</v>
      </c>
      <c r="E226" s="245">
        <v>0</v>
      </c>
      <c r="F226" s="292">
        <v>50</v>
      </c>
      <c r="G226" s="292">
        <v>50</v>
      </c>
      <c r="H226" s="292">
        <v>0</v>
      </c>
      <c r="I226" s="244">
        <f t="shared" si="14"/>
        <v>0</v>
      </c>
      <c r="J226" s="244">
        <v>50</v>
      </c>
      <c r="K226" s="292">
        <v>50</v>
      </c>
      <c r="L226" s="292">
        <v>50</v>
      </c>
      <c r="M226" s="292">
        <v>50</v>
      </c>
      <c r="N226" s="292">
        <v>50</v>
      </c>
      <c r="O226" s="292">
        <v>50</v>
      </c>
      <c r="P226" s="149"/>
    </row>
    <row r="227" spans="1:16" s="96" customFormat="1" ht="15">
      <c r="A227" s="169"/>
      <c r="B227" s="170">
        <v>3741</v>
      </c>
      <c r="C227" s="169" t="s">
        <v>370</v>
      </c>
      <c r="D227" s="245">
        <v>0</v>
      </c>
      <c r="E227" s="245">
        <v>50</v>
      </c>
      <c r="F227" s="292">
        <v>50</v>
      </c>
      <c r="G227" s="292">
        <v>50</v>
      </c>
      <c r="H227" s="292">
        <v>0</v>
      </c>
      <c r="I227" s="244">
        <f t="shared" si="14"/>
        <v>0</v>
      </c>
      <c r="J227" s="244">
        <v>50</v>
      </c>
      <c r="K227" s="292">
        <v>50</v>
      </c>
      <c r="L227" s="292">
        <v>50</v>
      </c>
      <c r="M227" s="292">
        <v>50</v>
      </c>
      <c r="N227" s="292">
        <v>50</v>
      </c>
      <c r="O227" s="292">
        <v>50</v>
      </c>
      <c r="P227" s="149"/>
    </row>
    <row r="228" spans="1:16" s="96" customFormat="1" ht="15">
      <c r="A228" s="114"/>
      <c r="B228" s="113">
        <v>3749</v>
      </c>
      <c r="C228" s="114" t="s">
        <v>371</v>
      </c>
      <c r="D228" s="245">
        <v>3</v>
      </c>
      <c r="E228" s="245">
        <v>8.5</v>
      </c>
      <c r="F228" s="298">
        <v>20</v>
      </c>
      <c r="G228" s="298">
        <v>20</v>
      </c>
      <c r="H228" s="298">
        <v>1.2</v>
      </c>
      <c r="I228" s="244">
        <f t="shared" si="14"/>
        <v>6</v>
      </c>
      <c r="J228" s="245">
        <v>10</v>
      </c>
      <c r="K228" s="298">
        <v>20</v>
      </c>
      <c r="L228" s="298">
        <v>20</v>
      </c>
      <c r="M228" s="298">
        <v>20</v>
      </c>
      <c r="N228" s="298">
        <v>20</v>
      </c>
      <c r="O228" s="298">
        <v>20</v>
      </c>
      <c r="P228" s="174"/>
    </row>
    <row r="229" spans="1:16" s="96" customFormat="1" ht="15.75" thickBot="1">
      <c r="A229" s="116"/>
      <c r="B229" s="175"/>
      <c r="C229" s="116" t="s">
        <v>494</v>
      </c>
      <c r="D229" s="287">
        <f>112.5+11</f>
        <v>123.5</v>
      </c>
      <c r="E229" s="287">
        <f>637.8+421.3+55.9+5.8</f>
        <v>1120.8</v>
      </c>
      <c r="F229" s="245"/>
      <c r="G229" s="245"/>
      <c r="H229" s="245"/>
      <c r="I229" s="244"/>
      <c r="J229" s="245"/>
      <c r="K229" s="245"/>
      <c r="L229" s="245"/>
      <c r="M229" s="245"/>
      <c r="N229" s="245"/>
      <c r="O229" s="245"/>
      <c r="P229" s="166"/>
    </row>
    <row r="230" spans="1:16" s="96" customFormat="1" ht="21.75" customHeight="1" thickBot="1" thickTop="1">
      <c r="A230" s="121"/>
      <c r="B230" s="176"/>
      <c r="C230" s="177" t="s">
        <v>372</v>
      </c>
      <c r="D230" s="289">
        <f>SUM(D212:D229)</f>
        <v>996.8</v>
      </c>
      <c r="E230" s="289">
        <f>SUM(E212:E229)</f>
        <v>1805.3</v>
      </c>
      <c r="F230" s="289">
        <f>SUM(F212:F229)</f>
        <v>745</v>
      </c>
      <c r="G230" s="289">
        <f>SUM(G212:G229)</f>
        <v>1091</v>
      </c>
      <c r="H230" s="289">
        <f>SUM(H212:H229)</f>
        <v>422.49999999999994</v>
      </c>
      <c r="I230" s="289">
        <f>(H230/G230)*100</f>
        <v>38.72593950504124</v>
      </c>
      <c r="J230" s="289">
        <f aca="true" t="shared" si="15" ref="J230:O230">SUM(J212:J229)</f>
        <v>1025</v>
      </c>
      <c r="K230" s="289">
        <f t="shared" si="15"/>
        <v>793</v>
      </c>
      <c r="L230" s="289">
        <f t="shared" si="15"/>
        <v>813</v>
      </c>
      <c r="M230" s="289">
        <f t="shared" si="15"/>
        <v>793</v>
      </c>
      <c r="N230" s="289">
        <f t="shared" si="15"/>
        <v>827</v>
      </c>
      <c r="O230" s="289">
        <f t="shared" si="15"/>
        <v>827</v>
      </c>
      <c r="P230" s="124"/>
    </row>
    <row r="231" spans="1:16" s="96" customFormat="1" ht="15" customHeight="1">
      <c r="A231" s="125"/>
      <c r="B231" s="126"/>
      <c r="C231" s="127"/>
      <c r="D231" s="127"/>
      <c r="E231" s="127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9"/>
    </row>
    <row r="232" spans="1:16" s="96" customFormat="1" ht="15" customHeight="1">
      <c r="A232" s="125"/>
      <c r="B232" s="126"/>
      <c r="C232" s="127"/>
      <c r="D232" s="127"/>
      <c r="E232" s="127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9"/>
    </row>
    <row r="233" spans="1:16" s="96" customFormat="1" ht="15" customHeight="1">
      <c r="A233" s="125"/>
      <c r="B233" s="126"/>
      <c r="C233" s="127"/>
      <c r="D233" s="127"/>
      <c r="E233" s="127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9"/>
    </row>
    <row r="234" spans="1:16" s="96" customFormat="1" ht="15" customHeight="1">
      <c r="A234" s="125"/>
      <c r="B234" s="126"/>
      <c r="C234" s="127"/>
      <c r="D234" s="127"/>
      <c r="E234" s="127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9"/>
    </row>
    <row r="235" spans="1:16" s="96" customFormat="1" ht="15" customHeight="1">
      <c r="A235" s="125"/>
      <c r="B235" s="126"/>
      <c r="C235" s="127"/>
      <c r="D235" s="127"/>
      <c r="E235" s="127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9"/>
    </row>
    <row r="236" spans="1:16" s="96" customFormat="1" ht="13.5" customHeight="1" thickBot="1">
      <c r="A236" s="125"/>
      <c r="B236" s="126"/>
      <c r="C236" s="127"/>
      <c r="D236" s="127"/>
      <c r="E236" s="127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9"/>
    </row>
    <row r="237" spans="1:16" s="96" customFormat="1" ht="15.75">
      <c r="A237" s="101" t="s">
        <v>2</v>
      </c>
      <c r="B237" s="101" t="s">
        <v>3</v>
      </c>
      <c r="C237" s="101" t="s">
        <v>5</v>
      </c>
      <c r="D237" s="313" t="s">
        <v>7</v>
      </c>
      <c r="E237" s="10" t="s">
        <v>7</v>
      </c>
      <c r="F237" s="101" t="s">
        <v>499</v>
      </c>
      <c r="G237" s="101" t="s">
        <v>500</v>
      </c>
      <c r="H237" s="11" t="s">
        <v>7</v>
      </c>
      <c r="I237" s="101" t="s">
        <v>8</v>
      </c>
      <c r="J237" s="101" t="s">
        <v>404</v>
      </c>
      <c r="K237" s="101" t="s">
        <v>410</v>
      </c>
      <c r="L237" s="101" t="s">
        <v>6</v>
      </c>
      <c r="M237" s="101" t="s">
        <v>410</v>
      </c>
      <c r="N237" s="101" t="s">
        <v>6</v>
      </c>
      <c r="O237" s="101" t="s">
        <v>6</v>
      </c>
      <c r="P237" s="101" t="s">
        <v>403</v>
      </c>
    </row>
    <row r="238" spans="1:16" s="96" customFormat="1" ht="15.75" customHeight="1" thickBot="1">
      <c r="A238" s="102"/>
      <c r="B238" s="102"/>
      <c r="C238" s="104"/>
      <c r="D238" s="330">
        <v>2007</v>
      </c>
      <c r="E238" s="331">
        <v>2008</v>
      </c>
      <c r="F238" s="105" t="s">
        <v>405</v>
      </c>
      <c r="G238" s="105" t="s">
        <v>405</v>
      </c>
      <c r="H238" s="14" t="s">
        <v>433</v>
      </c>
      <c r="I238" s="105" t="s">
        <v>234</v>
      </c>
      <c r="J238" s="105" t="s">
        <v>405</v>
      </c>
      <c r="K238" s="105" t="s">
        <v>402</v>
      </c>
      <c r="L238" s="105" t="s">
        <v>402</v>
      </c>
      <c r="M238" s="105" t="s">
        <v>440</v>
      </c>
      <c r="N238" s="105" t="s">
        <v>440</v>
      </c>
      <c r="O238" s="105" t="s">
        <v>441</v>
      </c>
      <c r="P238" s="105"/>
    </row>
    <row r="239" spans="1:16" s="96" customFormat="1" ht="16.5" thickTop="1">
      <c r="A239" s="106">
        <v>80</v>
      </c>
      <c r="B239" s="106"/>
      <c r="C239" s="108" t="s">
        <v>148</v>
      </c>
      <c r="D239" s="108"/>
      <c r="E239" s="108"/>
      <c r="F239" s="291"/>
      <c r="G239" s="291"/>
      <c r="H239" s="291"/>
      <c r="I239" s="291"/>
      <c r="J239" s="291"/>
      <c r="K239" s="291"/>
      <c r="L239" s="291"/>
      <c r="M239" s="291"/>
      <c r="N239" s="291"/>
      <c r="O239" s="291"/>
      <c r="P239" s="132"/>
    </row>
    <row r="240" spans="1:16" s="96" customFormat="1" ht="15.75">
      <c r="A240" s="110"/>
      <c r="B240" s="160"/>
      <c r="C240" s="110"/>
      <c r="D240" s="110"/>
      <c r="E240" s="110"/>
      <c r="F240" s="244"/>
      <c r="G240" s="244"/>
      <c r="H240" s="244"/>
      <c r="I240" s="244"/>
      <c r="J240" s="244"/>
      <c r="K240" s="244"/>
      <c r="L240" s="244"/>
      <c r="M240" s="244"/>
      <c r="N240" s="244"/>
      <c r="O240" s="244"/>
      <c r="P240" s="112"/>
    </row>
    <row r="241" spans="1:16" s="96" customFormat="1" ht="15">
      <c r="A241" s="114"/>
      <c r="B241" s="161">
        <v>2219</v>
      </c>
      <c r="C241" s="114" t="s">
        <v>373</v>
      </c>
      <c r="D241" s="281">
        <v>87.7</v>
      </c>
      <c r="E241" s="281">
        <v>42.5</v>
      </c>
      <c r="F241" s="302">
        <v>20</v>
      </c>
      <c r="G241" s="302">
        <v>20</v>
      </c>
      <c r="H241" s="302">
        <v>15.8</v>
      </c>
      <c r="I241" s="244">
        <f>(H241/G241)*100</f>
        <v>79</v>
      </c>
      <c r="J241" s="281">
        <v>20</v>
      </c>
      <c r="K241" s="302">
        <v>70</v>
      </c>
      <c r="L241" s="302">
        <v>70</v>
      </c>
      <c r="M241" s="302">
        <v>70</v>
      </c>
      <c r="N241" s="302">
        <v>70</v>
      </c>
      <c r="O241" s="292">
        <v>70</v>
      </c>
      <c r="P241" s="149"/>
    </row>
    <row r="242" spans="1:105" s="125" customFormat="1" ht="15">
      <c r="A242" s="114"/>
      <c r="B242" s="161">
        <v>2221</v>
      </c>
      <c r="C242" s="114" t="s">
        <v>374</v>
      </c>
      <c r="D242" s="281">
        <v>12298</v>
      </c>
      <c r="E242" s="281">
        <v>16050</v>
      </c>
      <c r="F242" s="302">
        <v>14000</v>
      </c>
      <c r="G242" s="302">
        <v>15076</v>
      </c>
      <c r="H242" s="302">
        <v>10310.2</v>
      </c>
      <c r="I242" s="244">
        <f>(H242/G242)*100</f>
        <v>68.38816662244628</v>
      </c>
      <c r="J242" s="281">
        <v>15076</v>
      </c>
      <c r="K242" s="302">
        <v>13802</v>
      </c>
      <c r="L242" s="302">
        <v>13802</v>
      </c>
      <c r="M242" s="302">
        <v>14302</v>
      </c>
      <c r="N242" s="302">
        <v>14302</v>
      </c>
      <c r="O242" s="292">
        <v>14302</v>
      </c>
      <c r="P242" s="149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</row>
    <row r="243" spans="1:105" s="125" customFormat="1" ht="15">
      <c r="A243" s="114"/>
      <c r="B243" s="161">
        <v>2221</v>
      </c>
      <c r="C243" s="114" t="s">
        <v>375</v>
      </c>
      <c r="D243" s="281">
        <v>0</v>
      </c>
      <c r="E243" s="281">
        <v>0</v>
      </c>
      <c r="F243" s="302">
        <v>1624</v>
      </c>
      <c r="G243" s="302">
        <v>8024</v>
      </c>
      <c r="H243" s="302">
        <v>1624</v>
      </c>
      <c r="I243" s="244">
        <f>(H243/G243)*100</f>
        <v>20.23928215353938</v>
      </c>
      <c r="J243" s="281">
        <v>8024</v>
      </c>
      <c r="K243" s="302">
        <v>0</v>
      </c>
      <c r="L243" s="302">
        <v>0</v>
      </c>
      <c r="M243" s="302">
        <v>0</v>
      </c>
      <c r="N243" s="302">
        <v>0</v>
      </c>
      <c r="O243" s="292">
        <v>0</v>
      </c>
      <c r="P243" s="149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</row>
    <row r="244" spans="1:105" s="125" customFormat="1" ht="15">
      <c r="A244" s="114"/>
      <c r="B244" s="161">
        <v>2232</v>
      </c>
      <c r="C244" s="114" t="s">
        <v>376</v>
      </c>
      <c r="D244" s="281">
        <f>69+1.5</f>
        <v>70.5</v>
      </c>
      <c r="E244" s="281">
        <v>200</v>
      </c>
      <c r="F244" s="302">
        <v>110</v>
      </c>
      <c r="G244" s="302">
        <v>750</v>
      </c>
      <c r="H244" s="302">
        <v>675</v>
      </c>
      <c r="I244" s="244">
        <f>(H244/G244)*100</f>
        <v>90</v>
      </c>
      <c r="J244" s="281">
        <v>750</v>
      </c>
      <c r="K244" s="302">
        <v>135</v>
      </c>
      <c r="L244" s="302">
        <v>135</v>
      </c>
      <c r="M244" s="302">
        <v>140</v>
      </c>
      <c r="N244" s="302">
        <v>140</v>
      </c>
      <c r="O244" s="292">
        <v>150</v>
      </c>
      <c r="P244" s="149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</row>
    <row r="245" spans="1:105" s="125" customFormat="1" ht="15">
      <c r="A245" s="169"/>
      <c r="B245" s="178">
        <v>6171</v>
      </c>
      <c r="C245" s="169" t="s">
        <v>377</v>
      </c>
      <c r="D245" s="245">
        <v>0</v>
      </c>
      <c r="E245" s="245">
        <v>0</v>
      </c>
      <c r="F245" s="244">
        <v>0</v>
      </c>
      <c r="G245" s="244">
        <v>0</v>
      </c>
      <c r="H245" s="244">
        <v>27</v>
      </c>
      <c r="I245" s="244" t="e">
        <f>(H245/G245)*100</f>
        <v>#DIV/0!</v>
      </c>
      <c r="J245" s="244">
        <v>0</v>
      </c>
      <c r="K245" s="244">
        <v>0</v>
      </c>
      <c r="L245" s="244">
        <v>0</v>
      </c>
      <c r="M245" s="244">
        <v>0</v>
      </c>
      <c r="N245" s="244">
        <v>0</v>
      </c>
      <c r="O245" s="244">
        <v>0</v>
      </c>
      <c r="P245" s="112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</row>
    <row r="246" spans="1:105" s="125" customFormat="1" ht="15.75" thickBot="1">
      <c r="A246" s="165"/>
      <c r="B246" s="164"/>
      <c r="C246" s="165"/>
      <c r="D246" s="287"/>
      <c r="E246" s="287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181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</row>
    <row r="247" spans="1:105" s="125" customFormat="1" ht="21.75" customHeight="1" thickBot="1" thickTop="1">
      <c r="A247" s="121"/>
      <c r="B247" s="179"/>
      <c r="C247" s="177" t="s">
        <v>378</v>
      </c>
      <c r="D247" s="289">
        <f>SUM(D241:D245)</f>
        <v>12456.2</v>
      </c>
      <c r="E247" s="289">
        <f>SUM(E241:E245)</f>
        <v>16292.5</v>
      </c>
      <c r="F247" s="289">
        <f>SUM(F241:F245)</f>
        <v>15754</v>
      </c>
      <c r="G247" s="289">
        <f>SUM(G241:G245)</f>
        <v>23870</v>
      </c>
      <c r="H247" s="289">
        <f>SUM(H241:H245)</f>
        <v>12652</v>
      </c>
      <c r="I247" s="289">
        <f>(H247/G247)*100</f>
        <v>53.00377042312526</v>
      </c>
      <c r="J247" s="289">
        <f aca="true" t="shared" si="16" ref="J247:O247">SUM(J241:J245)</f>
        <v>23870</v>
      </c>
      <c r="K247" s="289">
        <f t="shared" si="16"/>
        <v>14007</v>
      </c>
      <c r="L247" s="289">
        <f t="shared" si="16"/>
        <v>14007</v>
      </c>
      <c r="M247" s="289">
        <f t="shared" si="16"/>
        <v>14512</v>
      </c>
      <c r="N247" s="289">
        <f t="shared" si="16"/>
        <v>14512</v>
      </c>
      <c r="O247" s="289">
        <f t="shared" si="16"/>
        <v>14522</v>
      </c>
      <c r="P247" s="124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</row>
    <row r="248" spans="2:105" s="125" customFormat="1" ht="15" customHeight="1">
      <c r="B248" s="126"/>
      <c r="C248" s="127"/>
      <c r="D248" s="127"/>
      <c r="E248" s="127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9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</row>
    <row r="249" spans="2:105" s="125" customFormat="1" ht="15" customHeight="1">
      <c r="B249" s="126"/>
      <c r="C249" s="127"/>
      <c r="D249" s="127"/>
      <c r="E249" s="127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9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</row>
    <row r="250" spans="2:105" s="125" customFormat="1" ht="15" customHeight="1" thickBot="1">
      <c r="B250" s="126"/>
      <c r="C250" s="127"/>
      <c r="D250" s="127"/>
      <c r="E250" s="127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9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</row>
    <row r="251" spans="1:105" s="125" customFormat="1" ht="15.75" customHeight="1">
      <c r="A251" s="101" t="s">
        <v>2</v>
      </c>
      <c r="B251" s="101" t="s">
        <v>3</v>
      </c>
      <c r="C251" s="101" t="s">
        <v>5</v>
      </c>
      <c r="D251" s="313" t="s">
        <v>7</v>
      </c>
      <c r="E251" s="10" t="s">
        <v>7</v>
      </c>
      <c r="F251" s="101" t="s">
        <v>499</v>
      </c>
      <c r="G251" s="101" t="s">
        <v>500</v>
      </c>
      <c r="H251" s="11" t="s">
        <v>7</v>
      </c>
      <c r="I251" s="101" t="s">
        <v>8</v>
      </c>
      <c r="J251" s="101" t="s">
        <v>404</v>
      </c>
      <c r="K251" s="101" t="s">
        <v>410</v>
      </c>
      <c r="L251" s="101" t="s">
        <v>6</v>
      </c>
      <c r="M251" s="101" t="s">
        <v>410</v>
      </c>
      <c r="N251" s="101" t="s">
        <v>6</v>
      </c>
      <c r="O251" s="101" t="s">
        <v>6</v>
      </c>
      <c r="P251" s="101" t="s">
        <v>403</v>
      </c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</row>
    <row r="252" spans="1:16" s="96" customFormat="1" ht="15.75" customHeight="1" thickBot="1">
      <c r="A252" s="102"/>
      <c r="B252" s="102"/>
      <c r="C252" s="104"/>
      <c r="D252" s="330">
        <v>2007</v>
      </c>
      <c r="E252" s="331">
        <v>2008</v>
      </c>
      <c r="F252" s="105" t="s">
        <v>405</v>
      </c>
      <c r="G252" s="105" t="s">
        <v>405</v>
      </c>
      <c r="H252" s="14" t="s">
        <v>433</v>
      </c>
      <c r="I252" s="105" t="s">
        <v>234</v>
      </c>
      <c r="J252" s="105" t="s">
        <v>405</v>
      </c>
      <c r="K252" s="105" t="s">
        <v>402</v>
      </c>
      <c r="L252" s="105" t="s">
        <v>402</v>
      </c>
      <c r="M252" s="105" t="s">
        <v>440</v>
      </c>
      <c r="N252" s="105" t="s">
        <v>440</v>
      </c>
      <c r="O252" s="105" t="s">
        <v>441</v>
      </c>
      <c r="P252" s="105"/>
    </row>
    <row r="253" spans="1:16" s="96" customFormat="1" ht="16.5" thickTop="1">
      <c r="A253" s="106">
        <v>90</v>
      </c>
      <c r="B253" s="106"/>
      <c r="C253" s="108" t="s">
        <v>155</v>
      </c>
      <c r="D253" s="108"/>
      <c r="E253" s="108"/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  <c r="P253" s="132"/>
    </row>
    <row r="254" spans="1:16" s="96" customFormat="1" ht="15.75">
      <c r="A254" s="110"/>
      <c r="B254" s="160"/>
      <c r="C254" s="110"/>
      <c r="D254" s="110"/>
      <c r="E254" s="110"/>
      <c r="F254" s="244"/>
      <c r="G254" s="244"/>
      <c r="H254" s="244"/>
      <c r="I254" s="244"/>
      <c r="J254" s="244"/>
      <c r="K254" s="244"/>
      <c r="L254" s="244"/>
      <c r="M254" s="244"/>
      <c r="N254" s="244"/>
      <c r="O254" s="244"/>
      <c r="P254" s="112"/>
    </row>
    <row r="255" spans="1:16" s="96" customFormat="1" ht="15">
      <c r="A255" s="114"/>
      <c r="B255" s="161">
        <v>5311</v>
      </c>
      <c r="C255" s="114" t="s">
        <v>379</v>
      </c>
      <c r="D255" s="244">
        <v>11141</v>
      </c>
      <c r="E255" s="244">
        <v>12350.7</v>
      </c>
      <c r="F255" s="244">
        <v>12000</v>
      </c>
      <c r="G255" s="244">
        <v>12000</v>
      </c>
      <c r="H255" s="244">
        <v>7829.7</v>
      </c>
      <c r="I255" s="244">
        <f>(H255/G255)*100</f>
        <v>65.2475</v>
      </c>
      <c r="J255" s="244">
        <v>12000</v>
      </c>
      <c r="K255" s="244">
        <v>13256</v>
      </c>
      <c r="L255" s="244">
        <v>12000</v>
      </c>
      <c r="M255" s="244">
        <v>13626</v>
      </c>
      <c r="N255" s="244">
        <v>12500</v>
      </c>
      <c r="O255" s="244">
        <v>12500</v>
      </c>
      <c r="P255" s="112"/>
    </row>
    <row r="256" spans="1:16" s="96" customFormat="1" ht="16.5" thickBot="1">
      <c r="A256" s="163"/>
      <c r="B256" s="163"/>
      <c r="C256" s="180"/>
      <c r="D256" s="104"/>
      <c r="E256" s="104"/>
      <c r="F256" s="303"/>
      <c r="G256" s="303"/>
      <c r="H256" s="303"/>
      <c r="I256" s="303"/>
      <c r="J256" s="303"/>
      <c r="K256" s="303"/>
      <c r="L256" s="303"/>
      <c r="M256" s="303"/>
      <c r="N256" s="303"/>
      <c r="O256" s="303"/>
      <c r="P256" s="181"/>
    </row>
    <row r="257" spans="1:16" s="96" customFormat="1" ht="21.75" customHeight="1" thickBot="1" thickTop="1">
      <c r="A257" s="121"/>
      <c r="B257" s="179"/>
      <c r="C257" s="177" t="s">
        <v>380</v>
      </c>
      <c r="D257" s="289">
        <f>SUM(D253:D256)</f>
        <v>11141</v>
      </c>
      <c r="E257" s="289">
        <f>SUM(E253:E256)</f>
        <v>12350.7</v>
      </c>
      <c r="F257" s="289">
        <f>SUM(F253:F256)</f>
        <v>12000</v>
      </c>
      <c r="G257" s="289">
        <f>SUM(G253:G256)</f>
        <v>12000</v>
      </c>
      <c r="H257" s="289">
        <f>SUM(H253:H256)</f>
        <v>7829.7</v>
      </c>
      <c r="I257" s="289">
        <f>(H257/G257)*100</f>
        <v>65.2475</v>
      </c>
      <c r="J257" s="289">
        <f aca="true" t="shared" si="17" ref="J257:O257">SUM(J253:J256)</f>
        <v>12000</v>
      </c>
      <c r="K257" s="289">
        <f t="shared" si="17"/>
        <v>13256</v>
      </c>
      <c r="L257" s="289">
        <f t="shared" si="17"/>
        <v>12000</v>
      </c>
      <c r="M257" s="289">
        <f t="shared" si="17"/>
        <v>13626</v>
      </c>
      <c r="N257" s="289">
        <f t="shared" si="17"/>
        <v>12500</v>
      </c>
      <c r="O257" s="289">
        <f t="shared" si="17"/>
        <v>12500</v>
      </c>
      <c r="P257" s="124"/>
    </row>
    <row r="258" spans="1:16" s="96" customFormat="1" ht="15" customHeight="1">
      <c r="A258" s="125"/>
      <c r="B258" s="126"/>
      <c r="C258" s="127"/>
      <c r="D258" s="127"/>
      <c r="E258" s="127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9"/>
    </row>
    <row r="259" spans="1:16" s="96" customFormat="1" ht="15" customHeight="1" thickBot="1">
      <c r="A259" s="125"/>
      <c r="B259" s="126"/>
      <c r="C259" s="127"/>
      <c r="D259" s="127"/>
      <c r="E259" s="127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9"/>
    </row>
    <row r="260" spans="1:105" s="125" customFormat="1" ht="15.75" customHeight="1">
      <c r="A260" s="101" t="s">
        <v>2</v>
      </c>
      <c r="B260" s="101" t="s">
        <v>3</v>
      </c>
      <c r="C260" s="101" t="s">
        <v>5</v>
      </c>
      <c r="D260" s="313" t="s">
        <v>7</v>
      </c>
      <c r="E260" s="10" t="s">
        <v>7</v>
      </c>
      <c r="F260" s="101" t="s">
        <v>499</v>
      </c>
      <c r="G260" s="101" t="s">
        <v>500</v>
      </c>
      <c r="H260" s="11" t="s">
        <v>7</v>
      </c>
      <c r="I260" s="101" t="s">
        <v>8</v>
      </c>
      <c r="J260" s="101" t="s">
        <v>404</v>
      </c>
      <c r="K260" s="101" t="s">
        <v>410</v>
      </c>
      <c r="L260" s="101" t="s">
        <v>6</v>
      </c>
      <c r="M260" s="101" t="s">
        <v>410</v>
      </c>
      <c r="N260" s="101" t="s">
        <v>6</v>
      </c>
      <c r="O260" s="101" t="s">
        <v>6</v>
      </c>
      <c r="P260" s="101" t="s">
        <v>403</v>
      </c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</row>
    <row r="261" spans="1:16" s="96" customFormat="1" ht="15.75" customHeight="1" thickBot="1">
      <c r="A261" s="102"/>
      <c r="B261" s="102"/>
      <c r="C261" s="104"/>
      <c r="D261" s="330">
        <v>2007</v>
      </c>
      <c r="E261" s="331">
        <v>2008</v>
      </c>
      <c r="F261" s="105" t="s">
        <v>405</v>
      </c>
      <c r="G261" s="105" t="s">
        <v>405</v>
      </c>
      <c r="H261" s="14" t="s">
        <v>433</v>
      </c>
      <c r="I261" s="105" t="s">
        <v>234</v>
      </c>
      <c r="J261" s="105" t="s">
        <v>405</v>
      </c>
      <c r="K261" s="105" t="s">
        <v>402</v>
      </c>
      <c r="L261" s="105" t="s">
        <v>402</v>
      </c>
      <c r="M261" s="105" t="s">
        <v>440</v>
      </c>
      <c r="N261" s="105" t="s">
        <v>440</v>
      </c>
      <c r="O261" s="105" t="s">
        <v>441</v>
      </c>
      <c r="P261" s="105"/>
    </row>
    <row r="262" spans="1:16" s="96" customFormat="1" ht="16.5" thickTop="1">
      <c r="A262" s="106">
        <v>100</v>
      </c>
      <c r="B262" s="106"/>
      <c r="C262" s="108" t="s">
        <v>160</v>
      </c>
      <c r="D262" s="108"/>
      <c r="E262" s="108"/>
      <c r="F262" s="291"/>
      <c r="G262" s="291"/>
      <c r="H262" s="291"/>
      <c r="I262" s="291"/>
      <c r="J262" s="291"/>
      <c r="K262" s="291"/>
      <c r="L262" s="291"/>
      <c r="M262" s="291"/>
      <c r="N262" s="291"/>
      <c r="O262" s="291"/>
      <c r="P262" s="132"/>
    </row>
    <row r="263" spans="1:16" s="96" customFormat="1" ht="15.75">
      <c r="A263" s="110"/>
      <c r="B263" s="160"/>
      <c r="C263" s="110"/>
      <c r="D263" s="110"/>
      <c r="E263" s="110"/>
      <c r="F263" s="244"/>
      <c r="G263" s="244"/>
      <c r="H263" s="244"/>
      <c r="I263" s="244"/>
      <c r="J263" s="244"/>
      <c r="K263" s="244"/>
      <c r="L263" s="244"/>
      <c r="M263" s="244"/>
      <c r="N263" s="244"/>
      <c r="O263" s="244"/>
      <c r="P263" s="112"/>
    </row>
    <row r="264" spans="1:16" s="96" customFormat="1" ht="15">
      <c r="A264" s="114"/>
      <c r="B264" s="161">
        <v>3635</v>
      </c>
      <c r="C264" s="114" t="s">
        <v>381</v>
      </c>
      <c r="D264" s="293">
        <v>495.8</v>
      </c>
      <c r="E264" s="293">
        <v>1244.3</v>
      </c>
      <c r="F264" s="293">
        <f>1375+1000</f>
        <v>2375</v>
      </c>
      <c r="G264" s="293">
        <v>2475</v>
      </c>
      <c r="H264" s="293">
        <v>724.4</v>
      </c>
      <c r="I264" s="244">
        <f>(H264/G264)*100</f>
        <v>29.268686868686867</v>
      </c>
      <c r="J264" s="244">
        <v>1775</v>
      </c>
      <c r="K264" s="293">
        <v>1070</v>
      </c>
      <c r="L264" s="293">
        <v>3400</v>
      </c>
      <c r="M264" s="293">
        <v>1520</v>
      </c>
      <c r="N264" s="293">
        <v>1520</v>
      </c>
      <c r="O264" s="293">
        <v>1500</v>
      </c>
      <c r="P264" s="135" t="s">
        <v>422</v>
      </c>
    </row>
    <row r="265" spans="1:16" s="96" customFormat="1" ht="15.75">
      <c r="A265" s="182"/>
      <c r="B265" s="183">
        <v>2169</v>
      </c>
      <c r="C265" s="184" t="s">
        <v>382</v>
      </c>
      <c r="D265" s="293">
        <v>0</v>
      </c>
      <c r="E265" s="293">
        <v>0</v>
      </c>
      <c r="F265" s="293">
        <v>150</v>
      </c>
      <c r="G265" s="293">
        <v>150</v>
      </c>
      <c r="H265" s="293">
        <v>0</v>
      </c>
      <c r="I265" s="244">
        <f>(H265/G265)*100</f>
        <v>0</v>
      </c>
      <c r="J265" s="244">
        <v>150</v>
      </c>
      <c r="K265" s="293">
        <v>150</v>
      </c>
      <c r="L265" s="293">
        <v>150</v>
      </c>
      <c r="M265" s="293">
        <v>150</v>
      </c>
      <c r="N265" s="293">
        <v>150</v>
      </c>
      <c r="O265" s="293">
        <v>150</v>
      </c>
      <c r="P265" s="135"/>
    </row>
    <row r="266" spans="1:16" s="96" customFormat="1" ht="16.5" thickBot="1">
      <c r="A266" s="163"/>
      <c r="B266" s="185"/>
      <c r="C266" s="186"/>
      <c r="D266" s="104"/>
      <c r="E266" s="104"/>
      <c r="F266" s="304"/>
      <c r="G266" s="304"/>
      <c r="H266" s="304"/>
      <c r="I266" s="248"/>
      <c r="J266" s="248"/>
      <c r="K266" s="304"/>
      <c r="L266" s="304"/>
      <c r="M266" s="304"/>
      <c r="N266" s="304"/>
      <c r="O266" s="304"/>
      <c r="P266" s="187"/>
    </row>
    <row r="267" spans="1:16" s="96" customFormat="1" ht="21.75" customHeight="1" thickBot="1" thickTop="1">
      <c r="A267" s="121"/>
      <c r="B267" s="179"/>
      <c r="C267" s="177" t="s">
        <v>423</v>
      </c>
      <c r="D267" s="289">
        <f>SUM(D262:D265)</f>
        <v>495.8</v>
      </c>
      <c r="E267" s="289">
        <f>SUM(E262:E265)</f>
        <v>1244.3</v>
      </c>
      <c r="F267" s="289">
        <f>SUM(F262:F265)</f>
        <v>2525</v>
      </c>
      <c r="G267" s="289">
        <f>SUM(G262:G265)</f>
        <v>2625</v>
      </c>
      <c r="H267" s="289">
        <f>SUM(H262:H265)</f>
        <v>724.4</v>
      </c>
      <c r="I267" s="289">
        <f>(H267/G267)*100</f>
        <v>27.596190476190475</v>
      </c>
      <c r="J267" s="289">
        <f aca="true" t="shared" si="18" ref="J267:O267">SUM(J262:J265)</f>
        <v>1925</v>
      </c>
      <c r="K267" s="289">
        <f t="shared" si="18"/>
        <v>1220</v>
      </c>
      <c r="L267" s="289">
        <f t="shared" si="18"/>
        <v>3550</v>
      </c>
      <c r="M267" s="289">
        <f t="shared" si="18"/>
        <v>1670</v>
      </c>
      <c r="N267" s="289">
        <f t="shared" si="18"/>
        <v>1670</v>
      </c>
      <c r="O267" s="289">
        <f t="shared" si="18"/>
        <v>1650</v>
      </c>
      <c r="P267" s="124"/>
    </row>
    <row r="268" spans="1:16" s="96" customFormat="1" ht="15" customHeight="1">
      <c r="A268" s="125"/>
      <c r="B268" s="126"/>
      <c r="C268" s="127"/>
      <c r="D268" s="127"/>
      <c r="E268" s="127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9"/>
    </row>
    <row r="269" spans="1:19" s="96" customFormat="1" ht="15" customHeight="1">
      <c r="A269" s="125"/>
      <c r="B269" s="126"/>
      <c r="C269" s="201"/>
      <c r="D269" s="201"/>
      <c r="E269" s="201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9"/>
      <c r="Q269" s="138"/>
      <c r="R269" s="138"/>
      <c r="S269" s="138"/>
    </row>
    <row r="270" spans="1:16" s="96" customFormat="1" ht="15" customHeight="1">
      <c r="A270" s="125"/>
      <c r="B270" s="126"/>
      <c r="C270" s="202"/>
      <c r="D270" s="202"/>
      <c r="E270" s="202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9"/>
    </row>
    <row r="271" spans="1:16" s="96" customFormat="1" ht="15" customHeight="1">
      <c r="A271" s="125"/>
      <c r="B271" s="126"/>
      <c r="C271" s="127"/>
      <c r="D271" s="127"/>
      <c r="E271" s="127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9"/>
    </row>
    <row r="272" spans="1:16" s="96" customFormat="1" ht="15" customHeight="1">
      <c r="A272" s="125"/>
      <c r="B272" s="126"/>
      <c r="C272" s="127"/>
      <c r="D272" s="127"/>
      <c r="E272" s="127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9"/>
    </row>
    <row r="273" spans="1:16" s="96" customFormat="1" ht="15" customHeight="1">
      <c r="A273" s="125"/>
      <c r="B273" s="126"/>
      <c r="C273" s="127"/>
      <c r="D273" s="127"/>
      <c r="E273" s="127"/>
      <c r="F273" s="128"/>
      <c r="G273" s="128"/>
      <c r="H273" s="128"/>
      <c r="I273" s="128"/>
      <c r="J273" s="128"/>
      <c r="K273" s="128"/>
      <c r="L273" s="128"/>
      <c r="M273" s="128"/>
      <c r="N273" s="128"/>
      <c r="O273" s="312" t="s">
        <v>490</v>
      </c>
      <c r="P273" s="129"/>
    </row>
    <row r="274" spans="1:16" s="96" customFormat="1" ht="15" customHeight="1">
      <c r="A274" s="125"/>
      <c r="B274" s="126"/>
      <c r="C274" s="127"/>
      <c r="D274" s="127"/>
      <c r="E274" s="127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9"/>
    </row>
    <row r="275" spans="2:15" s="96" customFormat="1" ht="15" customHeight="1" thickBot="1">
      <c r="B275" s="130"/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</row>
    <row r="276" spans="1:16" s="96" customFormat="1" ht="15.75">
      <c r="A276" s="101" t="s">
        <v>2</v>
      </c>
      <c r="B276" s="101" t="s">
        <v>3</v>
      </c>
      <c r="C276" s="101" t="s">
        <v>5</v>
      </c>
      <c r="D276" s="313" t="s">
        <v>7</v>
      </c>
      <c r="E276" s="10" t="s">
        <v>7</v>
      </c>
      <c r="F276" s="101" t="s">
        <v>499</v>
      </c>
      <c r="G276" s="101" t="s">
        <v>500</v>
      </c>
      <c r="H276" s="11" t="s">
        <v>7</v>
      </c>
      <c r="I276" s="101" t="s">
        <v>8</v>
      </c>
      <c r="J276" s="101" t="s">
        <v>404</v>
      </c>
      <c r="K276" s="101" t="s">
        <v>410</v>
      </c>
      <c r="L276" s="101" t="s">
        <v>6</v>
      </c>
      <c r="M276" s="101" t="s">
        <v>410</v>
      </c>
      <c r="N276" s="101" t="s">
        <v>6</v>
      </c>
      <c r="O276" s="101" t="s">
        <v>6</v>
      </c>
      <c r="P276" s="101" t="s">
        <v>403</v>
      </c>
    </row>
    <row r="277" spans="1:16" s="96" customFormat="1" ht="15.75" customHeight="1" thickBot="1">
      <c r="A277" s="102"/>
      <c r="B277" s="102"/>
      <c r="C277" s="104"/>
      <c r="D277" s="330">
        <v>2007</v>
      </c>
      <c r="E277" s="331">
        <v>2008</v>
      </c>
      <c r="F277" s="105" t="s">
        <v>405</v>
      </c>
      <c r="G277" s="105" t="s">
        <v>405</v>
      </c>
      <c r="H277" s="14" t="s">
        <v>433</v>
      </c>
      <c r="I277" s="105" t="s">
        <v>234</v>
      </c>
      <c r="J277" s="105" t="s">
        <v>405</v>
      </c>
      <c r="K277" s="105" t="s">
        <v>402</v>
      </c>
      <c r="L277" s="105" t="s">
        <v>402</v>
      </c>
      <c r="M277" s="105" t="s">
        <v>440</v>
      </c>
      <c r="N277" s="105" t="s">
        <v>440</v>
      </c>
      <c r="O277" s="105" t="s">
        <v>441</v>
      </c>
      <c r="P277" s="105"/>
    </row>
    <row r="278" spans="1:16" s="96" customFormat="1" ht="16.5" thickTop="1">
      <c r="A278" s="106">
        <v>110</v>
      </c>
      <c r="B278" s="106"/>
      <c r="C278" s="108" t="s">
        <v>164</v>
      </c>
      <c r="D278" s="108"/>
      <c r="E278" s="108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132"/>
    </row>
    <row r="279" spans="1:16" s="96" customFormat="1" ht="15" customHeight="1">
      <c r="A279" s="110"/>
      <c r="B279" s="160"/>
      <c r="C279" s="110"/>
      <c r="D279" s="110"/>
      <c r="E279" s="110"/>
      <c r="F279" s="244"/>
      <c r="G279" s="244"/>
      <c r="H279" s="244"/>
      <c r="I279" s="244"/>
      <c r="J279" s="244"/>
      <c r="K279" s="244"/>
      <c r="L279" s="244"/>
      <c r="M279" s="244"/>
      <c r="N279" s="244"/>
      <c r="O279" s="244"/>
      <c r="P279" s="112"/>
    </row>
    <row r="280" spans="1:16" s="96" customFormat="1" ht="15" hidden="1">
      <c r="A280" s="114"/>
      <c r="B280" s="161">
        <v>3611</v>
      </c>
      <c r="C280" s="114" t="s">
        <v>383</v>
      </c>
      <c r="D280" s="114"/>
      <c r="E280" s="114"/>
      <c r="F280" s="244"/>
      <c r="G280" s="244"/>
      <c r="H280" s="244"/>
      <c r="I280" s="244"/>
      <c r="J280" s="244"/>
      <c r="K280" s="244"/>
      <c r="L280" s="244"/>
      <c r="M280" s="244"/>
      <c r="N280" s="244"/>
      <c r="O280" s="244"/>
      <c r="P280" s="112"/>
    </row>
    <row r="281" spans="1:16" s="96" customFormat="1" ht="15">
      <c r="A281" s="114"/>
      <c r="B281" s="161">
        <v>6310</v>
      </c>
      <c r="C281" s="114" t="s">
        <v>384</v>
      </c>
      <c r="D281" s="244">
        <v>6426.1</v>
      </c>
      <c r="E281" s="244">
        <v>5963.4</v>
      </c>
      <c r="F281" s="244">
        <v>5529</v>
      </c>
      <c r="G281" s="244">
        <v>5529</v>
      </c>
      <c r="H281" s="244">
        <v>4032.8</v>
      </c>
      <c r="I281" s="244">
        <f>(H281/G281)*100</f>
        <v>72.93904865255924</v>
      </c>
      <c r="J281" s="244">
        <v>5529</v>
      </c>
      <c r="K281" s="244">
        <v>4726</v>
      </c>
      <c r="L281" s="244">
        <v>4226</v>
      </c>
      <c r="M281" s="244">
        <v>3924</v>
      </c>
      <c r="N281" s="244">
        <v>3424</v>
      </c>
      <c r="O281" s="244">
        <v>2626</v>
      </c>
      <c r="P281" s="112"/>
    </row>
    <row r="282" spans="1:16" s="96" customFormat="1" ht="15">
      <c r="A282" s="114"/>
      <c r="B282" s="161">
        <v>6399</v>
      </c>
      <c r="C282" s="114" t="s">
        <v>409</v>
      </c>
      <c r="D282" s="244">
        <v>20106.6</v>
      </c>
      <c r="E282" s="244">
        <v>26959.7</v>
      </c>
      <c r="F282" s="244">
        <v>20200</v>
      </c>
      <c r="G282" s="244">
        <v>23770</v>
      </c>
      <c r="H282" s="244">
        <v>17645.7</v>
      </c>
      <c r="I282" s="244">
        <f>(H282/G282)*100</f>
        <v>74.23517038283552</v>
      </c>
      <c r="J282" s="244">
        <v>23370</v>
      </c>
      <c r="K282" s="244">
        <v>30800</v>
      </c>
      <c r="L282" s="244">
        <v>77850</v>
      </c>
      <c r="M282" s="244">
        <v>20300</v>
      </c>
      <c r="N282" s="244">
        <v>13500</v>
      </c>
      <c r="O282" s="244">
        <v>13000</v>
      </c>
      <c r="P282" s="112"/>
    </row>
    <row r="283" spans="1:16" s="96" customFormat="1" ht="15">
      <c r="A283" s="114"/>
      <c r="B283" s="161">
        <v>6402</v>
      </c>
      <c r="C283" s="114" t="s">
        <v>385</v>
      </c>
      <c r="D283" s="244">
        <v>7267.7</v>
      </c>
      <c r="E283" s="244">
        <v>9797</v>
      </c>
      <c r="F283" s="244">
        <v>2505</v>
      </c>
      <c r="G283" s="244">
        <v>2505</v>
      </c>
      <c r="H283" s="244">
        <v>2504.5</v>
      </c>
      <c r="I283" s="244">
        <f>(H283/G283)*100</f>
        <v>99.98003992015968</v>
      </c>
      <c r="J283" s="244">
        <v>2505</v>
      </c>
      <c r="K283" s="244">
        <v>0</v>
      </c>
      <c r="L283" s="244">
        <v>0</v>
      </c>
      <c r="M283" s="244">
        <v>0</v>
      </c>
      <c r="N283" s="244">
        <v>0</v>
      </c>
      <c r="O283" s="244">
        <v>0</v>
      </c>
      <c r="P283" s="112"/>
    </row>
    <row r="284" spans="1:16" s="96" customFormat="1" ht="15">
      <c r="A284" s="114"/>
      <c r="B284" s="161">
        <v>6409</v>
      </c>
      <c r="C284" s="114" t="s">
        <v>386</v>
      </c>
      <c r="D284" s="244">
        <v>109.6</v>
      </c>
      <c r="E284" s="244">
        <v>0</v>
      </c>
      <c r="F284" s="244">
        <v>0</v>
      </c>
      <c r="G284" s="244">
        <v>0</v>
      </c>
      <c r="H284" s="244">
        <v>4.6</v>
      </c>
      <c r="I284" s="244" t="e">
        <f>(H284/G284)*100</f>
        <v>#DIV/0!</v>
      </c>
      <c r="J284" s="244">
        <v>0</v>
      </c>
      <c r="K284" s="244">
        <v>0</v>
      </c>
      <c r="L284" s="244">
        <v>0</v>
      </c>
      <c r="M284" s="244">
        <v>0</v>
      </c>
      <c r="N284" s="244">
        <v>0</v>
      </c>
      <c r="O284" s="244">
        <v>0</v>
      </c>
      <c r="P284" s="112"/>
    </row>
    <row r="285" spans="1:16" s="138" customFormat="1" ht="16.5" customHeight="1">
      <c r="A285" s="108"/>
      <c r="B285" s="106">
        <v>6409</v>
      </c>
      <c r="C285" s="108" t="s">
        <v>387</v>
      </c>
      <c r="D285" s="305">
        <v>0</v>
      </c>
      <c r="E285" s="305">
        <v>0</v>
      </c>
      <c r="F285" s="305">
        <f>9035</f>
        <v>9035</v>
      </c>
      <c r="G285" s="305">
        <v>1036</v>
      </c>
      <c r="H285" s="305">
        <v>0</v>
      </c>
      <c r="I285" s="244">
        <f>(H285/G285)*100</f>
        <v>0</v>
      </c>
      <c r="J285" s="306">
        <v>0</v>
      </c>
      <c r="K285" s="305">
        <v>8009</v>
      </c>
      <c r="L285" s="305">
        <v>0</v>
      </c>
      <c r="M285" s="305">
        <v>43361</v>
      </c>
      <c r="N285" s="305">
        <v>26915</v>
      </c>
      <c r="O285" s="305">
        <v>40152</v>
      </c>
      <c r="P285" s="188"/>
    </row>
    <row r="286" spans="1:16" s="96" customFormat="1" ht="15.75" thickBot="1">
      <c r="A286" s="165"/>
      <c r="B286" s="164"/>
      <c r="C286" s="165"/>
      <c r="D286" s="287"/>
      <c r="E286" s="287"/>
      <c r="F286" s="287"/>
      <c r="G286" s="287"/>
      <c r="H286" s="287"/>
      <c r="I286" s="287"/>
      <c r="J286" s="287"/>
      <c r="K286" s="287"/>
      <c r="L286" s="287"/>
      <c r="M286" s="287"/>
      <c r="N286" s="287"/>
      <c r="O286" s="287"/>
      <c r="P286" s="120"/>
    </row>
    <row r="287" spans="1:16" s="96" customFormat="1" ht="21.75" customHeight="1" thickBot="1" thickTop="1">
      <c r="A287" s="121"/>
      <c r="B287" s="179"/>
      <c r="C287" s="177" t="s">
        <v>388</v>
      </c>
      <c r="D287" s="307">
        <f>SUM(D279:D285)</f>
        <v>33909.99999999999</v>
      </c>
      <c r="E287" s="307">
        <f>SUM(E279:E285)</f>
        <v>42720.1</v>
      </c>
      <c r="F287" s="307">
        <f>SUM(F279:F285)</f>
        <v>37269</v>
      </c>
      <c r="G287" s="307">
        <f>SUM(G279:G285)</f>
        <v>32840</v>
      </c>
      <c r="H287" s="307">
        <f>SUM(H279:H285)</f>
        <v>24187.6</v>
      </c>
      <c r="I287" s="289">
        <f>(H287/G287)*100</f>
        <v>73.65286236297199</v>
      </c>
      <c r="J287" s="307">
        <f aca="true" t="shared" si="19" ref="J287:O287">SUM(J279:J285)</f>
        <v>31404</v>
      </c>
      <c r="K287" s="307">
        <f t="shared" si="19"/>
        <v>43535</v>
      </c>
      <c r="L287" s="307">
        <f t="shared" si="19"/>
        <v>82076</v>
      </c>
      <c r="M287" s="307">
        <f t="shared" si="19"/>
        <v>67585</v>
      </c>
      <c r="N287" s="307">
        <f t="shared" si="19"/>
        <v>43839</v>
      </c>
      <c r="O287" s="307">
        <f t="shared" si="19"/>
        <v>55778</v>
      </c>
      <c r="P287" s="189"/>
    </row>
    <row r="288" spans="1:16" s="96" customFormat="1" ht="14.25" customHeight="1">
      <c r="A288" s="125"/>
      <c r="B288" s="126"/>
      <c r="C288" s="127"/>
      <c r="D288" s="127"/>
      <c r="E288" s="127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9"/>
    </row>
    <row r="289" spans="1:16" s="96" customFormat="1" ht="15" customHeight="1">
      <c r="A289" s="125"/>
      <c r="B289" s="126"/>
      <c r="C289" s="127"/>
      <c r="D289" s="127"/>
      <c r="E289" s="127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9"/>
    </row>
    <row r="290" spans="1:16" s="96" customFormat="1" ht="15" customHeight="1" thickBot="1">
      <c r="A290" s="125"/>
      <c r="B290" s="126"/>
      <c r="C290" s="127"/>
      <c r="D290" s="127"/>
      <c r="E290" s="127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9"/>
    </row>
    <row r="291" spans="1:16" s="96" customFormat="1" ht="15.75">
      <c r="A291" s="101" t="s">
        <v>2</v>
      </c>
      <c r="B291" s="101" t="s">
        <v>3</v>
      </c>
      <c r="C291" s="101" t="s">
        <v>5</v>
      </c>
      <c r="D291" s="313" t="s">
        <v>7</v>
      </c>
      <c r="E291" s="10" t="s">
        <v>7</v>
      </c>
      <c r="F291" s="101" t="s">
        <v>499</v>
      </c>
      <c r="G291" s="101" t="s">
        <v>500</v>
      </c>
      <c r="H291" s="11" t="s">
        <v>7</v>
      </c>
      <c r="I291" s="101" t="s">
        <v>8</v>
      </c>
      <c r="J291" s="101" t="s">
        <v>404</v>
      </c>
      <c r="K291" s="101" t="s">
        <v>410</v>
      </c>
      <c r="L291" s="101" t="s">
        <v>6</v>
      </c>
      <c r="M291" s="101" t="s">
        <v>410</v>
      </c>
      <c r="N291" s="101" t="s">
        <v>6</v>
      </c>
      <c r="O291" s="101" t="s">
        <v>6</v>
      </c>
      <c r="P291" s="101" t="s">
        <v>403</v>
      </c>
    </row>
    <row r="292" spans="1:16" s="96" customFormat="1" ht="15.75" customHeight="1" thickBot="1">
      <c r="A292" s="102"/>
      <c r="B292" s="102"/>
      <c r="C292" s="104"/>
      <c r="D292" s="330">
        <v>2007</v>
      </c>
      <c r="E292" s="331">
        <v>2008</v>
      </c>
      <c r="F292" s="105" t="s">
        <v>405</v>
      </c>
      <c r="G292" s="105" t="s">
        <v>405</v>
      </c>
      <c r="H292" s="14" t="s">
        <v>433</v>
      </c>
      <c r="I292" s="105" t="s">
        <v>234</v>
      </c>
      <c r="J292" s="105" t="s">
        <v>405</v>
      </c>
      <c r="K292" s="105" t="s">
        <v>402</v>
      </c>
      <c r="L292" s="105" t="s">
        <v>402</v>
      </c>
      <c r="M292" s="105" t="s">
        <v>440</v>
      </c>
      <c r="N292" s="105" t="s">
        <v>440</v>
      </c>
      <c r="O292" s="105" t="s">
        <v>441</v>
      </c>
      <c r="P292" s="105"/>
    </row>
    <row r="293" spans="1:16" s="96" customFormat="1" ht="16.5" thickTop="1">
      <c r="A293" s="106">
        <v>120</v>
      </c>
      <c r="B293" s="106"/>
      <c r="C293" s="108" t="s">
        <v>389</v>
      </c>
      <c r="D293" s="108"/>
      <c r="E293" s="108"/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132"/>
    </row>
    <row r="294" spans="1:16" s="96" customFormat="1" ht="15" customHeight="1">
      <c r="A294" s="110"/>
      <c r="B294" s="160"/>
      <c r="C294" s="110"/>
      <c r="D294" s="110"/>
      <c r="E294" s="110"/>
      <c r="F294" s="244"/>
      <c r="G294" s="244"/>
      <c r="H294" s="244"/>
      <c r="I294" s="244"/>
      <c r="J294" s="244"/>
      <c r="K294" s="244"/>
      <c r="L294" s="244"/>
      <c r="M294" s="244"/>
      <c r="N294" s="244"/>
      <c r="O294" s="244"/>
      <c r="P294" s="112"/>
    </row>
    <row r="295" spans="1:16" s="96" customFormat="1" ht="15.75">
      <c r="A295" s="110"/>
      <c r="B295" s="161">
        <v>2310</v>
      </c>
      <c r="C295" s="114" t="s">
        <v>390</v>
      </c>
      <c r="D295" s="245">
        <v>38</v>
      </c>
      <c r="E295" s="245">
        <v>9.1</v>
      </c>
      <c r="F295" s="245">
        <v>30</v>
      </c>
      <c r="G295" s="245">
        <v>30</v>
      </c>
      <c r="H295" s="298">
        <v>8.7</v>
      </c>
      <c r="I295" s="292">
        <f aca="true" t="shared" si="20" ref="I295:I303">(H295/G295)*100</f>
        <v>28.999999999999996</v>
      </c>
      <c r="J295" s="298">
        <v>30</v>
      </c>
      <c r="K295" s="298">
        <v>30</v>
      </c>
      <c r="L295" s="298">
        <v>30</v>
      </c>
      <c r="M295" s="298">
        <v>30</v>
      </c>
      <c r="N295" s="298">
        <v>30</v>
      </c>
      <c r="O295" s="298">
        <v>30</v>
      </c>
      <c r="P295" s="166"/>
    </row>
    <row r="296" spans="1:16" s="96" customFormat="1" ht="15.75" hidden="1">
      <c r="A296" s="110"/>
      <c r="B296" s="161">
        <v>2321</v>
      </c>
      <c r="C296" s="114" t="s">
        <v>391</v>
      </c>
      <c r="D296" s="245"/>
      <c r="E296" s="245"/>
      <c r="F296" s="245">
        <v>0</v>
      </c>
      <c r="G296" s="245">
        <v>0</v>
      </c>
      <c r="H296" s="298"/>
      <c r="I296" s="292" t="e">
        <f t="shared" si="20"/>
        <v>#DIV/0!</v>
      </c>
      <c r="J296" s="298"/>
      <c r="K296" s="298"/>
      <c r="L296" s="298"/>
      <c r="M296" s="298"/>
      <c r="N296" s="298"/>
      <c r="O296" s="298"/>
      <c r="P296" s="166"/>
    </row>
    <row r="297" spans="1:16" s="96" customFormat="1" ht="15">
      <c r="A297" s="114"/>
      <c r="B297" s="161">
        <v>3612</v>
      </c>
      <c r="C297" s="114" t="s">
        <v>392</v>
      </c>
      <c r="D297" s="244">
        <v>609.2</v>
      </c>
      <c r="E297" s="244">
        <v>790</v>
      </c>
      <c r="F297" s="244">
        <v>705</v>
      </c>
      <c r="G297" s="244">
        <f>409+462</f>
        <v>871</v>
      </c>
      <c r="H297" s="292">
        <v>649.2</v>
      </c>
      <c r="I297" s="292">
        <f t="shared" si="20"/>
        <v>74.53501722158438</v>
      </c>
      <c r="J297" s="292">
        <v>871</v>
      </c>
      <c r="K297" s="292">
        <v>800</v>
      </c>
      <c r="L297" s="292">
        <v>1619</v>
      </c>
      <c r="M297" s="292">
        <v>800</v>
      </c>
      <c r="N297" s="292">
        <v>1000</v>
      </c>
      <c r="O297" s="292">
        <v>1000</v>
      </c>
      <c r="P297" s="112"/>
    </row>
    <row r="298" spans="1:16" s="96" customFormat="1" ht="15">
      <c r="A298" s="114"/>
      <c r="B298" s="161">
        <v>3612</v>
      </c>
      <c r="C298" s="114" t="s">
        <v>393</v>
      </c>
      <c r="D298" s="244">
        <v>26020</v>
      </c>
      <c r="E298" s="244">
        <v>24200</v>
      </c>
      <c r="F298" s="244">
        <v>23600</v>
      </c>
      <c r="G298" s="244">
        <v>23600</v>
      </c>
      <c r="H298" s="292">
        <v>21100</v>
      </c>
      <c r="I298" s="292">
        <f t="shared" si="20"/>
        <v>89.40677966101694</v>
      </c>
      <c r="J298" s="292">
        <v>23600</v>
      </c>
      <c r="K298" s="292">
        <v>22000</v>
      </c>
      <c r="L298" s="292">
        <v>15480</v>
      </c>
      <c r="M298" s="292">
        <v>20000</v>
      </c>
      <c r="N298" s="292">
        <v>10000</v>
      </c>
      <c r="O298" s="292">
        <v>10000</v>
      </c>
      <c r="P298" s="112"/>
    </row>
    <row r="299" spans="1:16" s="96" customFormat="1" ht="15">
      <c r="A299" s="114"/>
      <c r="B299" s="161">
        <v>3634</v>
      </c>
      <c r="C299" s="114" t="s">
        <v>394</v>
      </c>
      <c r="D299" s="244">
        <v>799.3</v>
      </c>
      <c r="E299" s="244">
        <v>800</v>
      </c>
      <c r="F299" s="244">
        <v>800</v>
      </c>
      <c r="G299" s="244">
        <v>800</v>
      </c>
      <c r="H299" s="292">
        <v>398.6</v>
      </c>
      <c r="I299" s="292">
        <f t="shared" si="20"/>
        <v>49.825</v>
      </c>
      <c r="J299" s="292">
        <v>800</v>
      </c>
      <c r="K299" s="292">
        <v>1200</v>
      </c>
      <c r="L299" s="292">
        <v>1200</v>
      </c>
      <c r="M299" s="292">
        <v>1200</v>
      </c>
      <c r="N299" s="292">
        <v>1200</v>
      </c>
      <c r="O299" s="292">
        <v>1200</v>
      </c>
      <c r="P299" s="112"/>
    </row>
    <row r="300" spans="1:16" s="96" customFormat="1" ht="15">
      <c r="A300" s="114"/>
      <c r="B300" s="161">
        <v>3639</v>
      </c>
      <c r="C300" s="114" t="s">
        <v>395</v>
      </c>
      <c r="D300" s="244">
        <v>1699.4</v>
      </c>
      <c r="E300" s="244">
        <v>7192</v>
      </c>
      <c r="F300" s="244">
        <v>703</v>
      </c>
      <c r="G300" s="244">
        <v>703</v>
      </c>
      <c r="H300" s="292">
        <v>341.3</v>
      </c>
      <c r="I300" s="292">
        <f t="shared" si="20"/>
        <v>48.54907539118066</v>
      </c>
      <c r="J300" s="292">
        <v>703</v>
      </c>
      <c r="K300" s="292">
        <v>567</v>
      </c>
      <c r="L300" s="292">
        <v>570</v>
      </c>
      <c r="M300" s="292">
        <v>567</v>
      </c>
      <c r="N300" s="292">
        <v>450</v>
      </c>
      <c r="O300" s="292">
        <v>450</v>
      </c>
      <c r="P300" s="112"/>
    </row>
    <row r="301" spans="1:16" s="96" customFormat="1" ht="15">
      <c r="A301" s="114"/>
      <c r="B301" s="161">
        <v>3639</v>
      </c>
      <c r="C301" s="114" t="s">
        <v>396</v>
      </c>
      <c r="D301" s="244">
        <v>0</v>
      </c>
      <c r="E301" s="244">
        <v>0</v>
      </c>
      <c r="F301" s="244">
        <v>12283</v>
      </c>
      <c r="G301" s="244">
        <v>12283</v>
      </c>
      <c r="H301" s="292">
        <v>7783.1</v>
      </c>
      <c r="I301" s="292">
        <f t="shared" si="20"/>
        <v>63.364813156395016</v>
      </c>
      <c r="J301" s="292">
        <v>7783.1</v>
      </c>
      <c r="K301" s="292">
        <v>0</v>
      </c>
      <c r="L301" s="292">
        <v>0</v>
      </c>
      <c r="M301" s="292">
        <v>0</v>
      </c>
      <c r="N301" s="292">
        <v>0</v>
      </c>
      <c r="O301" s="292">
        <v>0</v>
      </c>
      <c r="P301" s="112"/>
    </row>
    <row r="302" spans="1:16" s="96" customFormat="1" ht="15">
      <c r="A302" s="114"/>
      <c r="B302" s="161">
        <v>3639</v>
      </c>
      <c r="C302" s="114" t="s">
        <v>397</v>
      </c>
      <c r="D302" s="244">
        <v>0</v>
      </c>
      <c r="E302" s="244">
        <v>0</v>
      </c>
      <c r="F302" s="244">
        <v>27400</v>
      </c>
      <c r="G302" s="244">
        <v>28400</v>
      </c>
      <c r="H302" s="292">
        <v>18754.6</v>
      </c>
      <c r="I302" s="292">
        <f t="shared" si="20"/>
        <v>66.03732394366196</v>
      </c>
      <c r="J302" s="292">
        <v>19000</v>
      </c>
      <c r="K302" s="292">
        <v>0</v>
      </c>
      <c r="L302" s="292">
        <v>6000</v>
      </c>
      <c r="M302" s="292">
        <v>0</v>
      </c>
      <c r="N302" s="292">
        <v>500</v>
      </c>
      <c r="O302" s="292">
        <v>500</v>
      </c>
      <c r="P302" s="112"/>
    </row>
    <row r="303" spans="1:16" s="96" customFormat="1" ht="15">
      <c r="A303" s="114"/>
      <c r="B303" s="161">
        <v>3729</v>
      </c>
      <c r="C303" s="114" t="s">
        <v>398</v>
      </c>
      <c r="D303" s="244">
        <v>1</v>
      </c>
      <c r="E303" s="244">
        <v>0.5</v>
      </c>
      <c r="F303" s="244">
        <v>101</v>
      </c>
      <c r="G303" s="244">
        <v>101</v>
      </c>
      <c r="H303" s="292">
        <v>0.5</v>
      </c>
      <c r="I303" s="292">
        <f t="shared" si="20"/>
        <v>0.49504950495049505</v>
      </c>
      <c r="J303" s="292">
        <v>0.5</v>
      </c>
      <c r="K303" s="292">
        <v>0</v>
      </c>
      <c r="L303" s="292">
        <v>101</v>
      </c>
      <c r="M303" s="292">
        <v>0</v>
      </c>
      <c r="N303" s="292">
        <v>0</v>
      </c>
      <c r="O303" s="292">
        <v>0</v>
      </c>
      <c r="P303" s="112"/>
    </row>
    <row r="304" spans="1:16" s="96" customFormat="1" ht="15" customHeight="1" thickBot="1">
      <c r="A304" s="163"/>
      <c r="B304" s="163"/>
      <c r="C304" s="344" t="s">
        <v>494</v>
      </c>
      <c r="D304" s="345">
        <v>15.6</v>
      </c>
      <c r="E304" s="345"/>
      <c r="F304" s="287"/>
      <c r="G304" s="287"/>
      <c r="H304" s="287"/>
      <c r="I304" s="287"/>
      <c r="J304" s="287"/>
      <c r="K304" s="287"/>
      <c r="L304" s="287"/>
      <c r="M304" s="287"/>
      <c r="N304" s="287"/>
      <c r="O304" s="287"/>
      <c r="P304" s="120"/>
    </row>
    <row r="305" spans="1:16" s="96" customFormat="1" ht="21.75" customHeight="1" thickBot="1" thickTop="1">
      <c r="A305" s="190"/>
      <c r="B305" s="179"/>
      <c r="C305" s="177" t="s">
        <v>399</v>
      </c>
      <c r="D305" s="307">
        <f>SUM(D295:D304)</f>
        <v>29182.5</v>
      </c>
      <c r="E305" s="307">
        <f>SUM(E295:E304)</f>
        <v>32991.6</v>
      </c>
      <c r="F305" s="307">
        <f>SUM(F295:F303)</f>
        <v>65622</v>
      </c>
      <c r="G305" s="307">
        <f>SUM(G295:G303)</f>
        <v>66788</v>
      </c>
      <c r="H305" s="307">
        <f>SUM(H295:H303)</f>
        <v>49036</v>
      </c>
      <c r="I305" s="289">
        <f>(H305/G305)*100</f>
        <v>73.42037491764988</v>
      </c>
      <c r="J305" s="307">
        <f aca="true" t="shared" si="21" ref="J305:O305">SUM(J295:J303)</f>
        <v>52787.6</v>
      </c>
      <c r="K305" s="307">
        <f t="shared" si="21"/>
        <v>24597</v>
      </c>
      <c r="L305" s="307">
        <f t="shared" si="21"/>
        <v>25000</v>
      </c>
      <c r="M305" s="307">
        <f t="shared" si="21"/>
        <v>22597</v>
      </c>
      <c r="N305" s="307">
        <f t="shared" si="21"/>
        <v>13180</v>
      </c>
      <c r="O305" s="307">
        <f t="shared" si="21"/>
        <v>13180</v>
      </c>
      <c r="P305" s="189"/>
    </row>
    <row r="306" spans="1:16" s="96" customFormat="1" ht="15" customHeight="1">
      <c r="A306" s="125"/>
      <c r="B306" s="126"/>
      <c r="C306" s="127"/>
      <c r="D306" s="127"/>
      <c r="E306" s="127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9"/>
    </row>
    <row r="307" spans="1:16" s="96" customFormat="1" ht="15" customHeight="1">
      <c r="A307" s="125"/>
      <c r="B307" s="126"/>
      <c r="C307" s="127"/>
      <c r="D307" s="127"/>
      <c r="E307" s="127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9"/>
    </row>
    <row r="308" spans="6:15" s="96" customFormat="1" ht="15" customHeight="1" thickBot="1">
      <c r="F308" s="290"/>
      <c r="G308" s="290"/>
      <c r="H308" s="290"/>
      <c r="I308" s="290"/>
      <c r="J308" s="290"/>
      <c r="K308" s="290"/>
      <c r="L308" s="290"/>
      <c r="M308" s="290"/>
      <c r="N308" s="290"/>
      <c r="O308" s="290"/>
    </row>
    <row r="309" spans="1:16" s="96" customFormat="1" ht="15.75">
      <c r="A309" s="101" t="s">
        <v>2</v>
      </c>
      <c r="B309" s="101" t="s">
        <v>3</v>
      </c>
      <c r="C309" s="101" t="s">
        <v>5</v>
      </c>
      <c r="D309" s="313" t="s">
        <v>7</v>
      </c>
      <c r="E309" s="10" t="s">
        <v>7</v>
      </c>
      <c r="F309" s="101" t="s">
        <v>499</v>
      </c>
      <c r="G309" s="101" t="s">
        <v>500</v>
      </c>
      <c r="H309" s="11" t="s">
        <v>7</v>
      </c>
      <c r="I309" s="101" t="s">
        <v>8</v>
      </c>
      <c r="J309" s="101" t="s">
        <v>404</v>
      </c>
      <c r="K309" s="101" t="s">
        <v>410</v>
      </c>
      <c r="L309" s="101" t="s">
        <v>6</v>
      </c>
      <c r="M309" s="101" t="s">
        <v>410</v>
      </c>
      <c r="N309" s="101" t="s">
        <v>6</v>
      </c>
      <c r="O309" s="101" t="s">
        <v>6</v>
      </c>
      <c r="P309" s="101" t="s">
        <v>403</v>
      </c>
    </row>
    <row r="310" spans="1:16" s="96" customFormat="1" ht="15.75" customHeight="1" thickBot="1">
      <c r="A310" s="102"/>
      <c r="B310" s="102"/>
      <c r="C310" s="104"/>
      <c r="D310" s="330">
        <v>2007</v>
      </c>
      <c r="E310" s="331">
        <v>2008</v>
      </c>
      <c r="F310" s="105" t="s">
        <v>405</v>
      </c>
      <c r="G310" s="105" t="s">
        <v>405</v>
      </c>
      <c r="H310" s="14" t="s">
        <v>433</v>
      </c>
      <c r="I310" s="105" t="s">
        <v>234</v>
      </c>
      <c r="J310" s="105" t="s">
        <v>405</v>
      </c>
      <c r="K310" s="105" t="s">
        <v>402</v>
      </c>
      <c r="L310" s="105" t="s">
        <v>402</v>
      </c>
      <c r="M310" s="105" t="s">
        <v>440</v>
      </c>
      <c r="N310" s="105" t="s">
        <v>440</v>
      </c>
      <c r="O310" s="105" t="s">
        <v>441</v>
      </c>
      <c r="P310" s="105"/>
    </row>
    <row r="311" spans="1:16" s="96" customFormat="1" ht="38.25" customHeight="1" thickBot="1" thickTop="1">
      <c r="A311" s="177"/>
      <c r="B311" s="191"/>
      <c r="C311" s="192" t="s">
        <v>400</v>
      </c>
      <c r="D311" s="308">
        <f>SUM(D37,D137,D163,D202,D230,D247,D257,D267,D287,D305)</f>
        <v>498879.7</v>
      </c>
      <c r="E311" s="308">
        <f>SUM(E37,E137,E163,E202,E230,E247,E257,E267,E287,E305)</f>
        <v>601475.1</v>
      </c>
      <c r="F311" s="308">
        <f>SUM(F37,F137,F163,F202,F230,F247,F257,F267,F287,F305)</f>
        <v>659994</v>
      </c>
      <c r="G311" s="308">
        <f>SUM(G37,G137,G163,G202,G230,G247,G257,G267,G287,G305)</f>
        <v>748383.1</v>
      </c>
      <c r="H311" s="308">
        <f>SUM(H37,H137,H163,H202,H230,H247,H257,H267,H287,H305)</f>
        <v>486683.10000000003</v>
      </c>
      <c r="I311" s="309">
        <f>(H311/G311)*100</f>
        <v>65.03127876618274</v>
      </c>
      <c r="J311" s="308">
        <f aca="true" t="shared" si="22" ref="J311:O311">SUM(J37,J137,J163,J202,J230,J247,J257,J267,J287,J305)</f>
        <v>712186.6</v>
      </c>
      <c r="K311" s="308">
        <f t="shared" si="22"/>
        <v>533907</v>
      </c>
      <c r="L311" s="308">
        <f t="shared" si="22"/>
        <v>638702</v>
      </c>
      <c r="M311" s="308">
        <f t="shared" si="22"/>
        <v>501887</v>
      </c>
      <c r="N311" s="308">
        <f t="shared" si="22"/>
        <v>512016</v>
      </c>
      <c r="O311" s="308">
        <f t="shared" si="22"/>
        <v>522807</v>
      </c>
      <c r="P311" s="193"/>
    </row>
    <row r="312" spans="1:16" ht="15">
      <c r="A312" s="194"/>
      <c r="B312" s="194"/>
      <c r="C312" s="194"/>
      <c r="D312" s="194"/>
      <c r="E312" s="194"/>
      <c r="F312" s="194"/>
      <c r="G312" s="194"/>
      <c r="H312" s="194"/>
      <c r="K312" s="194"/>
      <c r="L312" s="194"/>
      <c r="M312" s="194"/>
      <c r="N312" s="194"/>
      <c r="O312" s="194"/>
      <c r="P312" s="194"/>
    </row>
    <row r="313" spans="1:16" ht="15" hidden="1">
      <c r="A313" s="194"/>
      <c r="B313" s="194"/>
      <c r="C313" s="194"/>
      <c r="D313" s="194"/>
      <c r="E313" s="194"/>
      <c r="F313" s="194"/>
      <c r="G313" s="194"/>
      <c r="H313" s="194"/>
      <c r="K313" s="194"/>
      <c r="L313" s="194"/>
      <c r="M313" s="194"/>
      <c r="N313" s="194"/>
      <c r="O313" s="194"/>
      <c r="P313" s="194"/>
    </row>
    <row r="314" spans="1:16" ht="15" hidden="1">
      <c r="A314" s="194"/>
      <c r="B314" s="194"/>
      <c r="C314" s="194" t="s">
        <v>401</v>
      </c>
      <c r="D314" s="194"/>
      <c r="E314" s="194"/>
      <c r="F314" s="195"/>
      <c r="G314" s="195"/>
      <c r="H314" s="195"/>
      <c r="I314" s="196" t="e">
        <f>SUM(#REF!,#REF!,#REF!,I59,I60,#REF!,#REF!)+3142+40000</f>
        <v>#REF!</v>
      </c>
      <c r="J314" s="196"/>
      <c r="K314" s="195"/>
      <c r="L314" s="195"/>
      <c r="M314" s="195"/>
      <c r="N314" s="195"/>
      <c r="O314" s="195"/>
      <c r="P314" s="195"/>
    </row>
    <row r="315" spans="1:16" ht="15" hidden="1">
      <c r="A315" s="194"/>
      <c r="B315" s="194"/>
      <c r="C315" s="194"/>
      <c r="D315" s="194"/>
      <c r="E315" s="194"/>
      <c r="F315" s="197">
        <f>SUM(F58,F59,F133,F301,F302)</f>
        <v>193862</v>
      </c>
      <c r="G315" s="197">
        <f>SUM(G58,G59,G133,G301,G302)</f>
        <v>229600</v>
      </c>
      <c r="H315" s="197"/>
      <c r="K315" s="197">
        <f>SUM(K58,K59,K133,K301,K302)</f>
        <v>65302</v>
      </c>
      <c r="L315" s="197"/>
      <c r="M315" s="197"/>
      <c r="N315" s="197"/>
      <c r="O315" s="197"/>
      <c r="P315" s="197"/>
    </row>
    <row r="316" spans="1:16" ht="15" hidden="1">
      <c r="A316" s="194"/>
      <c r="B316" s="194"/>
      <c r="C316" s="194"/>
      <c r="D316" s="194"/>
      <c r="E316" s="194"/>
      <c r="F316" s="194"/>
      <c r="G316" s="194"/>
      <c r="H316" s="194"/>
      <c r="K316" s="194"/>
      <c r="L316" s="194"/>
      <c r="M316" s="194"/>
      <c r="N316" s="194"/>
      <c r="O316" s="194"/>
      <c r="P316" s="194"/>
    </row>
    <row r="317" spans="1:16" ht="15" hidden="1">
      <c r="A317" s="194"/>
      <c r="B317" s="194"/>
      <c r="C317" s="194"/>
      <c r="D317" s="194"/>
      <c r="E317" s="194"/>
      <c r="F317" s="194"/>
      <c r="G317" s="194"/>
      <c r="H317" s="194"/>
      <c r="K317" s="194"/>
      <c r="L317" s="194"/>
      <c r="M317" s="194"/>
      <c r="N317" s="194"/>
      <c r="O317" s="194"/>
      <c r="P317" s="194"/>
    </row>
    <row r="318" spans="1:16" ht="15">
      <c r="A318" s="194"/>
      <c r="B318" s="194"/>
      <c r="C318" s="194"/>
      <c r="D318" s="194"/>
      <c r="E318" s="194"/>
      <c r="F318" s="194"/>
      <c r="G318" s="194"/>
      <c r="H318" s="194"/>
      <c r="K318" s="194"/>
      <c r="L318" s="194"/>
      <c r="M318" s="194"/>
      <c r="N318" s="194"/>
      <c r="O318" s="194"/>
      <c r="P318" s="194"/>
    </row>
    <row r="319" spans="1:16" ht="15">
      <c r="A319" s="194"/>
      <c r="B319" s="194"/>
      <c r="C319" s="194"/>
      <c r="D319" s="194"/>
      <c r="E319" s="194"/>
      <c r="F319" s="194"/>
      <c r="G319" s="194"/>
      <c r="H319" s="194"/>
      <c r="K319" s="194"/>
      <c r="L319" s="194"/>
      <c r="M319" s="194"/>
      <c r="N319" s="194"/>
      <c r="O319" s="194"/>
      <c r="P319" s="194"/>
    </row>
    <row r="320" spans="1:16" ht="15" hidden="1">
      <c r="A320" s="194"/>
      <c r="B320" s="194"/>
      <c r="C320" s="194" t="s">
        <v>469</v>
      </c>
      <c r="D320" s="194"/>
      <c r="E320" s="194"/>
      <c r="F320" s="197">
        <f>+F311-F321</f>
        <v>465431</v>
      </c>
      <c r="G320" s="197">
        <f aca="true" t="shared" si="23" ref="G320:O320">+G311-G321</f>
        <v>517862.1</v>
      </c>
      <c r="H320" s="197">
        <f t="shared" si="23"/>
        <v>363454.30000000005</v>
      </c>
      <c r="I320" s="197" t="e">
        <f t="shared" si="23"/>
        <v>#DIV/0!</v>
      </c>
      <c r="J320" s="197">
        <f t="shared" si="23"/>
        <v>512295</v>
      </c>
      <c r="K320" s="197">
        <f t="shared" si="23"/>
        <v>468005</v>
      </c>
      <c r="L320" s="197">
        <f t="shared" si="23"/>
        <v>550501</v>
      </c>
      <c r="M320" s="197">
        <f t="shared" si="23"/>
        <v>500237</v>
      </c>
      <c r="N320" s="197">
        <f t="shared" si="23"/>
        <v>509316</v>
      </c>
      <c r="O320" s="197">
        <f t="shared" si="23"/>
        <v>521107</v>
      </c>
      <c r="P320" s="194"/>
    </row>
    <row r="321" spans="1:16" ht="15" hidden="1">
      <c r="A321" s="194"/>
      <c r="B321" s="194"/>
      <c r="C321" s="194" t="s">
        <v>401</v>
      </c>
      <c r="D321" s="194"/>
      <c r="E321" s="194"/>
      <c r="F321" s="197">
        <f aca="true" t="shared" si="24" ref="F321:O321">SUM(F35,F58,F59,F133,F301,F302,F303)</f>
        <v>194563</v>
      </c>
      <c r="G321" s="197">
        <f t="shared" si="24"/>
        <v>230521</v>
      </c>
      <c r="H321" s="197">
        <f t="shared" si="24"/>
        <v>123228.80000000002</v>
      </c>
      <c r="I321" s="197" t="e">
        <f t="shared" si="24"/>
        <v>#DIV/0!</v>
      </c>
      <c r="J321" s="197">
        <f t="shared" si="24"/>
        <v>199891.6</v>
      </c>
      <c r="K321" s="197">
        <f t="shared" si="24"/>
        <v>65902</v>
      </c>
      <c r="L321" s="197">
        <f t="shared" si="24"/>
        <v>88201</v>
      </c>
      <c r="M321" s="197">
        <f t="shared" si="24"/>
        <v>1650</v>
      </c>
      <c r="N321" s="197">
        <f t="shared" si="24"/>
        <v>2700</v>
      </c>
      <c r="O321" s="197">
        <f t="shared" si="24"/>
        <v>1700</v>
      </c>
      <c r="P321" s="194"/>
    </row>
    <row r="322" spans="1:16" ht="15">
      <c r="A322" s="194"/>
      <c r="B322" s="194"/>
      <c r="C322" s="194"/>
      <c r="D322" s="194"/>
      <c r="E322" s="194"/>
      <c r="F322" s="194"/>
      <c r="G322" s="194"/>
      <c r="H322" s="194"/>
      <c r="K322" s="194"/>
      <c r="L322" s="194"/>
      <c r="M322" s="194"/>
      <c r="N322" s="194"/>
      <c r="O322" s="194"/>
      <c r="P322" s="194"/>
    </row>
    <row r="323" spans="1:16" ht="15">
      <c r="A323" s="194"/>
      <c r="B323" s="194"/>
      <c r="C323" s="194"/>
      <c r="D323" s="194"/>
      <c r="E323" s="194"/>
      <c r="F323" s="194"/>
      <c r="G323" s="194"/>
      <c r="H323" s="194"/>
      <c r="K323" s="194"/>
      <c r="L323" s="194"/>
      <c r="M323" s="194"/>
      <c r="N323" s="194"/>
      <c r="O323" s="194"/>
      <c r="P323" s="194"/>
    </row>
    <row r="324" spans="1:16" ht="15">
      <c r="A324" s="194"/>
      <c r="B324" s="194"/>
      <c r="C324" s="194"/>
      <c r="D324" s="194"/>
      <c r="E324" s="194"/>
      <c r="F324" s="194"/>
      <c r="G324" s="194"/>
      <c r="H324" s="194"/>
      <c r="K324" s="194"/>
      <c r="L324" s="194"/>
      <c r="M324" s="194"/>
      <c r="N324" s="194"/>
      <c r="O324" s="194"/>
      <c r="P324" s="194"/>
    </row>
    <row r="325" spans="1:16" ht="15">
      <c r="A325" s="194"/>
      <c r="B325" s="194"/>
      <c r="C325" s="194"/>
      <c r="D325" s="194"/>
      <c r="E325" s="194"/>
      <c r="F325" s="194"/>
      <c r="G325" s="194"/>
      <c r="H325" s="194"/>
      <c r="K325" s="194"/>
      <c r="L325" s="194"/>
      <c r="M325" s="194"/>
      <c r="N325" s="194"/>
      <c r="O325" s="194"/>
      <c r="P325" s="194"/>
    </row>
    <row r="326" spans="1:16" ht="15">
      <c r="A326" s="194"/>
      <c r="B326" s="194"/>
      <c r="C326" s="194"/>
      <c r="D326" s="194"/>
      <c r="E326" s="194"/>
      <c r="F326" s="194"/>
      <c r="G326" s="194"/>
      <c r="H326" s="194"/>
      <c r="K326" s="194"/>
      <c r="L326" s="194"/>
      <c r="M326" s="194"/>
      <c r="N326" s="194"/>
      <c r="O326" s="194"/>
      <c r="P326" s="194"/>
    </row>
    <row r="327" spans="1:16" ht="15">
      <c r="A327" s="194"/>
      <c r="B327" s="194"/>
      <c r="C327" s="194"/>
      <c r="D327" s="194"/>
      <c r="E327" s="194"/>
      <c r="F327" s="194"/>
      <c r="G327" s="194"/>
      <c r="H327" s="194"/>
      <c r="K327" s="194"/>
      <c r="L327" s="194"/>
      <c r="M327" s="194"/>
      <c r="N327" s="194"/>
      <c r="O327" s="194"/>
      <c r="P327" s="194"/>
    </row>
    <row r="328" spans="1:16" ht="15">
      <c r="A328" s="194"/>
      <c r="B328" s="194"/>
      <c r="C328" s="194"/>
      <c r="D328" s="194"/>
      <c r="E328" s="194"/>
      <c r="F328" s="194"/>
      <c r="G328" s="194"/>
      <c r="H328" s="194"/>
      <c r="K328" s="194"/>
      <c r="L328" s="194"/>
      <c r="M328" s="194"/>
      <c r="N328" s="194"/>
      <c r="O328" s="194"/>
      <c r="P328" s="194"/>
    </row>
    <row r="329" spans="1:16" ht="15">
      <c r="A329" s="194"/>
      <c r="B329" s="194"/>
      <c r="C329" s="194"/>
      <c r="D329" s="194"/>
      <c r="E329" s="194"/>
      <c r="F329" s="194"/>
      <c r="G329" s="194"/>
      <c r="H329" s="194"/>
      <c r="K329" s="194"/>
      <c r="L329" s="194"/>
      <c r="M329" s="194"/>
      <c r="N329" s="194"/>
      <c r="O329" s="194"/>
      <c r="P329" s="194"/>
    </row>
    <row r="330" spans="1:16" ht="15">
      <c r="A330" s="194"/>
      <c r="B330" s="194"/>
      <c r="C330" s="194"/>
      <c r="D330" s="194"/>
      <c r="E330" s="194"/>
      <c r="F330" s="194"/>
      <c r="G330" s="194"/>
      <c r="H330" s="194"/>
      <c r="K330" s="194"/>
      <c r="L330" s="194"/>
      <c r="M330" s="194"/>
      <c r="N330" s="194"/>
      <c r="O330" s="194"/>
      <c r="P330" s="194"/>
    </row>
    <row r="331" spans="1:16" ht="15">
      <c r="A331" s="194"/>
      <c r="B331" s="194"/>
      <c r="C331" s="194"/>
      <c r="D331" s="194"/>
      <c r="E331" s="194"/>
      <c r="F331" s="194"/>
      <c r="G331" s="194"/>
      <c r="H331" s="194"/>
      <c r="K331" s="194"/>
      <c r="L331" s="194"/>
      <c r="M331" s="194"/>
      <c r="N331" s="194"/>
      <c r="O331" s="194"/>
      <c r="P331" s="194"/>
    </row>
    <row r="332" spans="1:16" ht="15">
      <c r="A332" s="194"/>
      <c r="B332" s="194"/>
      <c r="C332" s="194"/>
      <c r="D332" s="194"/>
      <c r="E332" s="194"/>
      <c r="F332" s="194"/>
      <c r="G332" s="194"/>
      <c r="H332" s="194"/>
      <c r="K332" s="194"/>
      <c r="L332" s="194"/>
      <c r="M332" s="194"/>
      <c r="N332" s="194"/>
      <c r="O332" s="194"/>
      <c r="P332" s="194"/>
    </row>
    <row r="333" spans="1:16" ht="15">
      <c r="A333" s="194"/>
      <c r="B333" s="194"/>
      <c r="C333" s="194"/>
      <c r="D333" s="194"/>
      <c r="E333" s="194"/>
      <c r="F333" s="194"/>
      <c r="G333" s="194"/>
      <c r="H333" s="194"/>
      <c r="K333" s="194"/>
      <c r="L333" s="194"/>
      <c r="M333" s="194"/>
      <c r="N333" s="194"/>
      <c r="O333" s="194"/>
      <c r="P333" s="194"/>
    </row>
    <row r="334" spans="1:16" ht="15">
      <c r="A334" s="194"/>
      <c r="B334" s="194"/>
      <c r="C334" s="194"/>
      <c r="D334" s="194"/>
      <c r="E334" s="194"/>
      <c r="F334" s="194"/>
      <c r="G334" s="194"/>
      <c r="H334" s="194"/>
      <c r="K334" s="194"/>
      <c r="L334" s="194"/>
      <c r="M334" s="194"/>
      <c r="N334" s="194"/>
      <c r="O334" s="194"/>
      <c r="P334" s="194"/>
    </row>
  </sheetData>
  <sheetProtection/>
  <mergeCells count="1">
    <mergeCell ref="A3:M3"/>
  </mergeCells>
  <printOptions/>
  <pageMargins left="0.984251968503937" right="0.31496062992125984" top="0.2755905511811024" bottom="0.4724409448818898" header="0.31496062992125984" footer="0.35433070866141736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tabSelected="1" workbookViewId="0" topLeftCell="A12">
      <selection activeCell="L65" sqref="L65"/>
    </sheetView>
  </sheetViews>
  <sheetFormatPr defaultColWidth="9.140625" defaultRowHeight="12.75"/>
  <cols>
    <col min="1" max="1" width="8.8515625" style="94" customWidth="1"/>
    <col min="2" max="2" width="10.8515625" style="94" bestFit="1" customWidth="1"/>
    <col min="3" max="3" width="75.7109375" style="94" customWidth="1"/>
    <col min="4" max="4" width="14.421875" style="94" customWidth="1"/>
    <col min="5" max="5" width="13.8515625" style="94" customWidth="1"/>
    <col min="6" max="7" width="15.8515625" style="94" customWidth="1"/>
    <col min="8" max="8" width="14.57421875" style="94" hidden="1" customWidth="1"/>
    <col min="9" max="9" width="12.00390625" style="94" hidden="1" customWidth="1"/>
    <col min="10" max="10" width="14.421875" style="94" customWidth="1"/>
    <col min="11" max="11" width="15.28125" style="94" hidden="1" customWidth="1"/>
    <col min="12" max="12" width="15.00390625" style="94" customWidth="1"/>
    <col min="13" max="13" width="15.28125" style="94" hidden="1" customWidth="1"/>
    <col min="14" max="14" width="15.140625" style="94" customWidth="1"/>
    <col min="15" max="15" width="14.140625" style="94" customWidth="1"/>
    <col min="16" max="16" width="54.00390625" style="94" hidden="1" customWidth="1"/>
    <col min="17" max="16384" width="9.140625" style="94" customWidth="1"/>
  </cols>
  <sheetData>
    <row r="1" spans="1:16" ht="18">
      <c r="A1" s="90" t="s">
        <v>233</v>
      </c>
      <c r="B1" s="91"/>
      <c r="C1" s="92"/>
      <c r="D1" s="92"/>
      <c r="E1" s="92"/>
      <c r="F1" s="93"/>
      <c r="G1" s="93"/>
      <c r="H1" s="93"/>
      <c r="K1" s="93"/>
      <c r="L1" s="93"/>
      <c r="M1" s="93"/>
      <c r="N1" s="93"/>
      <c r="O1" s="312"/>
      <c r="P1" s="93"/>
    </row>
    <row r="2" spans="1:5" ht="7.5" customHeight="1">
      <c r="A2" s="90"/>
      <c r="B2" s="91"/>
      <c r="C2" s="95"/>
      <c r="D2" s="95"/>
      <c r="E2" s="95"/>
    </row>
    <row r="3" spans="1:16" s="2" customFormat="1" ht="20.25">
      <c r="A3" s="371" t="s">
        <v>520</v>
      </c>
      <c r="B3" s="371"/>
      <c r="C3" s="371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216"/>
      <c r="O3" s="216"/>
      <c r="P3" s="216"/>
    </row>
    <row r="4" spans="6:16" s="96" customFormat="1" ht="7.5" customHeight="1">
      <c r="F4" s="97"/>
      <c r="G4" s="97"/>
      <c r="H4" s="97"/>
      <c r="I4" s="98" t="s">
        <v>1</v>
      </c>
      <c r="J4" s="98"/>
      <c r="K4" s="97"/>
      <c r="L4" s="97"/>
      <c r="M4" s="97"/>
      <c r="N4" s="97"/>
      <c r="O4" s="97"/>
      <c r="P4" s="97"/>
    </row>
    <row r="5" spans="1:16" s="96" customFormat="1" ht="15" customHeight="1" hidden="1">
      <c r="A5" s="125"/>
      <c r="B5" s="126"/>
      <c r="C5" s="127"/>
      <c r="D5" s="127"/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1:16" s="96" customFormat="1" ht="15" customHeight="1" hidden="1">
      <c r="A6" s="125"/>
      <c r="B6" s="126"/>
      <c r="C6" s="127"/>
      <c r="D6" s="127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s="96" customFormat="1" ht="15" customHeight="1" hidden="1">
      <c r="A7" s="125"/>
      <c r="B7" s="126"/>
      <c r="C7" s="127"/>
      <c r="D7" s="127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2:15" s="96" customFormat="1" ht="2.25" customHeight="1" thickBot="1">
      <c r="B8" s="13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16" s="96" customFormat="1" ht="15.75">
      <c r="A9" s="101" t="s">
        <v>2</v>
      </c>
      <c r="B9" s="100" t="s">
        <v>3</v>
      </c>
      <c r="C9" s="100" t="s">
        <v>5</v>
      </c>
      <c r="D9" s="313" t="s">
        <v>7</v>
      </c>
      <c r="E9" s="10" t="s">
        <v>7</v>
      </c>
      <c r="F9" s="101" t="s">
        <v>499</v>
      </c>
      <c r="G9" s="101" t="s">
        <v>500</v>
      </c>
      <c r="H9" s="11" t="s">
        <v>7</v>
      </c>
      <c r="I9" s="101" t="s">
        <v>8</v>
      </c>
      <c r="J9" s="101" t="s">
        <v>404</v>
      </c>
      <c r="K9" s="101" t="s">
        <v>410</v>
      </c>
      <c r="L9" s="101" t="s">
        <v>6</v>
      </c>
      <c r="M9" s="101" t="s">
        <v>410</v>
      </c>
      <c r="N9" s="101" t="s">
        <v>6</v>
      </c>
      <c r="O9" s="101" t="s">
        <v>6</v>
      </c>
      <c r="P9" s="101" t="s">
        <v>403</v>
      </c>
    </row>
    <row r="10" spans="1:16" s="96" customFormat="1" ht="15.75" customHeight="1" thickBot="1">
      <c r="A10" s="102"/>
      <c r="B10" s="103"/>
      <c r="C10" s="131"/>
      <c r="D10" s="330">
        <v>2007</v>
      </c>
      <c r="E10" s="331">
        <v>2008</v>
      </c>
      <c r="F10" s="105" t="s">
        <v>405</v>
      </c>
      <c r="G10" s="105" t="s">
        <v>405</v>
      </c>
      <c r="H10" s="14" t="s">
        <v>433</v>
      </c>
      <c r="I10" s="105" t="s">
        <v>234</v>
      </c>
      <c r="J10" s="105" t="s">
        <v>405</v>
      </c>
      <c r="K10" s="105" t="s">
        <v>402</v>
      </c>
      <c r="L10" s="105" t="s">
        <v>402</v>
      </c>
      <c r="M10" s="105" t="s">
        <v>440</v>
      </c>
      <c r="N10" s="105" t="s">
        <v>440</v>
      </c>
      <c r="O10" s="105" t="s">
        <v>441</v>
      </c>
      <c r="P10" s="105"/>
    </row>
    <row r="11" spans="1:16" s="96" customFormat="1" ht="16.5" customHeight="1" thickTop="1">
      <c r="A11" s="106">
        <v>20</v>
      </c>
      <c r="B11" s="107"/>
      <c r="C11" s="108" t="s">
        <v>259</v>
      </c>
      <c r="D11" s="108"/>
      <c r="E11" s="108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132"/>
    </row>
    <row r="12" spans="1:16" s="96" customFormat="1" ht="6.75" customHeight="1">
      <c r="A12" s="110"/>
      <c r="B12" s="111"/>
      <c r="C12" s="110"/>
      <c r="D12" s="110"/>
      <c r="E12" s="110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112"/>
    </row>
    <row r="13" spans="1:16" s="96" customFormat="1" ht="15" customHeight="1" hidden="1">
      <c r="A13" s="110"/>
      <c r="B13" s="113">
        <v>2123</v>
      </c>
      <c r="C13" s="133" t="s">
        <v>260</v>
      </c>
      <c r="D13" s="133"/>
      <c r="E13" s="133"/>
      <c r="F13" s="244">
        <v>0</v>
      </c>
      <c r="G13" s="244">
        <v>0</v>
      </c>
      <c r="H13" s="244">
        <v>0</v>
      </c>
      <c r="I13" s="244" t="e">
        <f>(H13/G13)*100</f>
        <v>#DIV/0!</v>
      </c>
      <c r="J13" s="292">
        <v>0</v>
      </c>
      <c r="K13" s="244">
        <v>0</v>
      </c>
      <c r="L13" s="244">
        <v>0</v>
      </c>
      <c r="M13" s="244"/>
      <c r="N13" s="244"/>
      <c r="O13" s="244"/>
      <c r="P13" s="112"/>
    </row>
    <row r="14" spans="1:16" s="138" customFormat="1" ht="7.5" customHeight="1" hidden="1">
      <c r="A14" s="142"/>
      <c r="B14" s="143"/>
      <c r="C14" s="144"/>
      <c r="D14" s="339"/>
      <c r="E14" s="339"/>
      <c r="F14" s="297"/>
      <c r="G14" s="297"/>
      <c r="H14" s="297"/>
      <c r="I14" s="244"/>
      <c r="J14" s="248"/>
      <c r="K14" s="297"/>
      <c r="L14" s="297"/>
      <c r="M14" s="297"/>
      <c r="N14" s="297"/>
      <c r="O14" s="297"/>
      <c r="P14" s="145"/>
    </row>
    <row r="15" spans="1:16" s="138" customFormat="1" ht="7.5" customHeight="1">
      <c r="A15" s="142"/>
      <c r="B15" s="143"/>
      <c r="C15" s="144"/>
      <c r="D15" s="339"/>
      <c r="E15" s="339"/>
      <c r="F15" s="297"/>
      <c r="G15" s="297"/>
      <c r="H15" s="297"/>
      <c r="I15" s="244"/>
      <c r="J15" s="248"/>
      <c r="K15" s="297"/>
      <c r="L15" s="297"/>
      <c r="M15" s="297"/>
      <c r="N15" s="297"/>
      <c r="O15" s="297"/>
      <c r="P15" s="145"/>
    </row>
    <row r="16" spans="1:16" s="138" customFormat="1" ht="15.75">
      <c r="A16" s="114"/>
      <c r="B16" s="113"/>
      <c r="C16" s="146" t="s">
        <v>443</v>
      </c>
      <c r="D16" s="340"/>
      <c r="E16" s="340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112"/>
    </row>
    <row r="17" spans="1:16" s="138" customFormat="1" ht="8.25" customHeight="1">
      <c r="A17" s="114"/>
      <c r="B17" s="113"/>
      <c r="C17" s="146"/>
      <c r="D17" s="340"/>
      <c r="E17" s="340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112"/>
    </row>
    <row r="18" spans="1:16" s="138" customFormat="1" ht="15.75">
      <c r="A18" s="114">
        <v>71004</v>
      </c>
      <c r="B18" s="113">
        <v>2143</v>
      </c>
      <c r="C18" s="134" t="s">
        <v>272</v>
      </c>
      <c r="D18" s="281"/>
      <c r="E18" s="281"/>
      <c r="F18" s="244">
        <v>500</v>
      </c>
      <c r="G18" s="244">
        <v>550</v>
      </c>
      <c r="H18" s="244">
        <v>549.9</v>
      </c>
      <c r="I18" s="244">
        <f aca="true" t="shared" si="0" ref="I18:I81">(H18/G18)*100</f>
        <v>99.98181818181818</v>
      </c>
      <c r="J18" s="244">
        <v>550</v>
      </c>
      <c r="K18" s="244">
        <v>0</v>
      </c>
      <c r="L18" s="244"/>
      <c r="M18" s="244"/>
      <c r="N18" s="244"/>
      <c r="O18" s="244"/>
      <c r="P18" s="112"/>
    </row>
    <row r="19" spans="1:16" s="138" customFormat="1" ht="15.75">
      <c r="A19" s="114">
        <v>81023</v>
      </c>
      <c r="B19" s="113">
        <v>2143</v>
      </c>
      <c r="C19" s="134" t="s">
        <v>273</v>
      </c>
      <c r="D19" s="281"/>
      <c r="E19" s="281"/>
      <c r="F19" s="244">
        <v>7060</v>
      </c>
      <c r="G19" s="244">
        <v>7060</v>
      </c>
      <c r="H19" s="244">
        <v>91.4</v>
      </c>
      <c r="I19" s="244">
        <f t="shared" si="0"/>
        <v>1.2946175637393769</v>
      </c>
      <c r="J19" s="244">
        <v>3900</v>
      </c>
      <c r="K19" s="244">
        <v>11802</v>
      </c>
      <c r="L19" s="244">
        <v>15000</v>
      </c>
      <c r="M19" s="244"/>
      <c r="N19" s="244"/>
      <c r="O19" s="244"/>
      <c r="P19" s="214" t="s">
        <v>492</v>
      </c>
    </row>
    <row r="20" spans="1:16" s="138" customFormat="1" ht="15.75">
      <c r="A20" s="114">
        <v>61006</v>
      </c>
      <c r="B20" s="113">
        <v>2212</v>
      </c>
      <c r="C20" s="134" t="s">
        <v>275</v>
      </c>
      <c r="D20" s="281"/>
      <c r="E20" s="281"/>
      <c r="F20" s="244">
        <v>7000</v>
      </c>
      <c r="G20" s="244">
        <v>12620</v>
      </c>
      <c r="H20" s="244">
        <v>9427.7</v>
      </c>
      <c r="I20" s="244">
        <f t="shared" si="0"/>
        <v>74.70443740095088</v>
      </c>
      <c r="J20" s="244">
        <v>10420</v>
      </c>
      <c r="K20" s="244">
        <v>0</v>
      </c>
      <c r="L20" s="244">
        <v>2500</v>
      </c>
      <c r="M20" s="244"/>
      <c r="N20" s="244"/>
      <c r="O20" s="244"/>
      <c r="P20" s="112" t="s">
        <v>430</v>
      </c>
    </row>
    <row r="21" spans="1:16" s="138" customFormat="1" ht="15.75">
      <c r="A21" s="114">
        <v>81006</v>
      </c>
      <c r="B21" s="113">
        <v>2212</v>
      </c>
      <c r="C21" s="134" t="s">
        <v>276</v>
      </c>
      <c r="D21" s="281"/>
      <c r="E21" s="281"/>
      <c r="F21" s="244">
        <v>9000</v>
      </c>
      <c r="G21" s="244">
        <v>13320</v>
      </c>
      <c r="H21" s="244">
        <v>83.4</v>
      </c>
      <c r="I21" s="244">
        <f t="shared" si="0"/>
        <v>0.6261261261261262</v>
      </c>
      <c r="J21" s="244">
        <v>84</v>
      </c>
      <c r="K21" s="244">
        <v>0</v>
      </c>
      <c r="L21" s="244">
        <v>12000</v>
      </c>
      <c r="M21" s="244"/>
      <c r="N21" s="244"/>
      <c r="O21" s="244"/>
      <c r="P21" s="112"/>
    </row>
    <row r="22" spans="1:16" s="138" customFormat="1" ht="15.75">
      <c r="A22" s="114">
        <v>81007</v>
      </c>
      <c r="B22" s="113">
        <v>2212</v>
      </c>
      <c r="C22" s="134" t="s">
        <v>277</v>
      </c>
      <c r="D22" s="281"/>
      <c r="E22" s="281"/>
      <c r="F22" s="244">
        <v>9000</v>
      </c>
      <c r="G22" s="244">
        <v>8350</v>
      </c>
      <c r="H22" s="244">
        <v>7130.1</v>
      </c>
      <c r="I22" s="244">
        <f t="shared" si="0"/>
        <v>85.39041916167666</v>
      </c>
      <c r="J22" s="244">
        <v>9000</v>
      </c>
      <c r="K22" s="244">
        <v>10000</v>
      </c>
      <c r="L22" s="244">
        <v>10000</v>
      </c>
      <c r="M22" s="244"/>
      <c r="N22" s="244"/>
      <c r="O22" s="244"/>
      <c r="P22" s="112" t="s">
        <v>439</v>
      </c>
    </row>
    <row r="23" spans="1:16" s="138" customFormat="1" ht="15.75">
      <c r="A23" s="114">
        <v>81009</v>
      </c>
      <c r="B23" s="113">
        <v>2212</v>
      </c>
      <c r="C23" s="134" t="s">
        <v>278</v>
      </c>
      <c r="D23" s="281"/>
      <c r="E23" s="281"/>
      <c r="F23" s="244">
        <v>2640</v>
      </c>
      <c r="G23" s="244">
        <v>2640</v>
      </c>
      <c r="H23" s="244">
        <v>45.6</v>
      </c>
      <c r="I23" s="244">
        <f t="shared" si="0"/>
        <v>1.7272727272727273</v>
      </c>
      <c r="J23" s="244">
        <v>2655</v>
      </c>
      <c r="K23" s="244"/>
      <c r="L23" s="244"/>
      <c r="M23" s="244"/>
      <c r="N23" s="244"/>
      <c r="O23" s="244"/>
      <c r="P23" s="112"/>
    </row>
    <row r="24" spans="1:16" s="138" customFormat="1" ht="15.75">
      <c r="A24" s="147">
        <v>91017</v>
      </c>
      <c r="B24" s="113">
        <v>2212</v>
      </c>
      <c r="C24" s="134" t="s">
        <v>437</v>
      </c>
      <c r="D24" s="281"/>
      <c r="E24" s="281"/>
      <c r="F24" s="244">
        <v>0</v>
      </c>
      <c r="G24" s="244">
        <v>2050</v>
      </c>
      <c r="H24" s="244">
        <v>37</v>
      </c>
      <c r="I24" s="244">
        <f t="shared" si="0"/>
        <v>1.8048780487804876</v>
      </c>
      <c r="J24" s="244">
        <v>2050</v>
      </c>
      <c r="K24" s="244"/>
      <c r="L24" s="244"/>
      <c r="M24" s="244"/>
      <c r="N24" s="244"/>
      <c r="O24" s="329"/>
      <c r="P24" s="112"/>
    </row>
    <row r="25" spans="1:16" s="138" customFormat="1" ht="15.75">
      <c r="A25" s="114">
        <v>71011</v>
      </c>
      <c r="B25" s="113">
        <v>2219</v>
      </c>
      <c r="C25" s="134" t="s">
        <v>281</v>
      </c>
      <c r="D25" s="281"/>
      <c r="E25" s="281"/>
      <c r="F25" s="244">
        <v>2250</v>
      </c>
      <c r="G25" s="244">
        <v>6000</v>
      </c>
      <c r="H25" s="244">
        <v>76</v>
      </c>
      <c r="I25" s="244">
        <f t="shared" si="0"/>
        <v>1.2666666666666666</v>
      </c>
      <c r="J25" s="244">
        <v>210</v>
      </c>
      <c r="K25" s="244"/>
      <c r="L25" s="244">
        <v>6000</v>
      </c>
      <c r="M25" s="244"/>
      <c r="N25" s="244"/>
      <c r="O25" s="244"/>
      <c r="P25" s="112"/>
    </row>
    <row r="26" spans="1:16" s="138" customFormat="1" ht="15.75">
      <c r="A26" s="114">
        <v>81011</v>
      </c>
      <c r="B26" s="113">
        <v>2219</v>
      </c>
      <c r="C26" s="134" t="s">
        <v>282</v>
      </c>
      <c r="D26" s="244"/>
      <c r="E26" s="281"/>
      <c r="F26" s="244">
        <v>100</v>
      </c>
      <c r="G26" s="244">
        <v>38</v>
      </c>
      <c r="H26" s="244">
        <v>0</v>
      </c>
      <c r="I26" s="244">
        <f t="shared" si="0"/>
        <v>0</v>
      </c>
      <c r="J26" s="244">
        <v>0</v>
      </c>
      <c r="K26" s="244"/>
      <c r="L26" s="244"/>
      <c r="M26" s="244"/>
      <c r="N26" s="244"/>
      <c r="O26" s="329"/>
      <c r="P26" s="112"/>
    </row>
    <row r="27" spans="1:16" s="138" customFormat="1" ht="15.75" customHeight="1">
      <c r="A27" s="114">
        <v>91008</v>
      </c>
      <c r="B27" s="113">
        <v>2219</v>
      </c>
      <c r="C27" s="134" t="s">
        <v>283</v>
      </c>
      <c r="D27" s="244"/>
      <c r="E27" s="281"/>
      <c r="F27" s="244">
        <v>400</v>
      </c>
      <c r="G27" s="244">
        <v>500</v>
      </c>
      <c r="H27" s="244">
        <v>0</v>
      </c>
      <c r="I27" s="244">
        <f t="shared" si="0"/>
        <v>0</v>
      </c>
      <c r="J27" s="244">
        <v>500</v>
      </c>
      <c r="K27" s="244"/>
      <c r="L27" s="244"/>
      <c r="M27" s="244"/>
      <c r="N27" s="244"/>
      <c r="O27" s="244"/>
      <c r="P27" s="112"/>
    </row>
    <row r="28" spans="1:16" s="138" customFormat="1" ht="15.75" customHeight="1">
      <c r="A28" s="114">
        <v>91012</v>
      </c>
      <c r="B28" s="113">
        <v>2219</v>
      </c>
      <c r="C28" s="134" t="s">
        <v>284</v>
      </c>
      <c r="D28" s="244"/>
      <c r="E28" s="281"/>
      <c r="F28" s="244">
        <v>0</v>
      </c>
      <c r="G28" s="244">
        <v>11401</v>
      </c>
      <c r="H28" s="244">
        <v>0</v>
      </c>
      <c r="I28" s="244">
        <f t="shared" si="0"/>
        <v>0</v>
      </c>
      <c r="J28" s="244">
        <v>34783</v>
      </c>
      <c r="K28" s="244"/>
      <c r="L28" s="244"/>
      <c r="M28" s="245"/>
      <c r="N28" s="245"/>
      <c r="O28" s="245"/>
      <c r="P28" s="30" t="s">
        <v>438</v>
      </c>
    </row>
    <row r="29" spans="1:16" s="138" customFormat="1" ht="15.75" customHeight="1">
      <c r="A29" s="114">
        <v>91007</v>
      </c>
      <c r="B29" s="113">
        <v>2239</v>
      </c>
      <c r="C29" s="134" t="s">
        <v>286</v>
      </c>
      <c r="D29" s="244"/>
      <c r="E29" s="281"/>
      <c r="F29" s="244">
        <v>500</v>
      </c>
      <c r="G29" s="244">
        <v>0</v>
      </c>
      <c r="H29" s="244">
        <v>0</v>
      </c>
      <c r="I29" s="244" t="e">
        <f t="shared" si="0"/>
        <v>#DIV/0!</v>
      </c>
      <c r="J29" s="244">
        <v>0</v>
      </c>
      <c r="K29" s="244"/>
      <c r="L29" s="244"/>
      <c r="M29" s="244"/>
      <c r="N29" s="244"/>
      <c r="O29" s="244"/>
      <c r="P29" s="112"/>
    </row>
    <row r="30" spans="1:16" s="138" customFormat="1" ht="15.75">
      <c r="A30" s="114">
        <v>71021</v>
      </c>
      <c r="B30" s="113">
        <v>2321</v>
      </c>
      <c r="C30" s="134" t="s">
        <v>287</v>
      </c>
      <c r="D30" s="244"/>
      <c r="E30" s="281"/>
      <c r="F30" s="244">
        <v>3200</v>
      </c>
      <c r="G30" s="244">
        <v>2950</v>
      </c>
      <c r="H30" s="244">
        <v>2594.3</v>
      </c>
      <c r="I30" s="244">
        <f t="shared" si="0"/>
        <v>87.94237288135594</v>
      </c>
      <c r="J30" s="244">
        <v>3200</v>
      </c>
      <c r="K30" s="244"/>
      <c r="L30" s="244"/>
      <c r="M30" s="244"/>
      <c r="N30" s="244"/>
      <c r="O30" s="244"/>
      <c r="P30" s="112"/>
    </row>
    <row r="31" spans="1:16" s="138" customFormat="1" ht="15.75">
      <c r="A31" s="114">
        <v>71026</v>
      </c>
      <c r="B31" s="113">
        <v>2321</v>
      </c>
      <c r="C31" s="134" t="s">
        <v>288</v>
      </c>
      <c r="D31" s="244"/>
      <c r="E31" s="281"/>
      <c r="F31" s="244">
        <v>1230</v>
      </c>
      <c r="G31" s="244">
        <v>1230</v>
      </c>
      <c r="H31" s="244">
        <v>1240</v>
      </c>
      <c r="I31" s="244">
        <f t="shared" si="0"/>
        <v>100.8130081300813</v>
      </c>
      <c r="J31" s="244">
        <v>1230</v>
      </c>
      <c r="K31" s="244"/>
      <c r="L31" s="244"/>
      <c r="M31" s="244"/>
      <c r="N31" s="244"/>
      <c r="O31" s="244"/>
      <c r="P31" s="112"/>
    </row>
    <row r="32" spans="1:16" s="138" customFormat="1" ht="15.75">
      <c r="A32" s="114">
        <v>71023</v>
      </c>
      <c r="B32" s="113">
        <v>3111</v>
      </c>
      <c r="C32" s="134" t="s">
        <v>289</v>
      </c>
      <c r="D32" s="244"/>
      <c r="E32" s="244"/>
      <c r="F32" s="244">
        <v>1000</v>
      </c>
      <c r="G32" s="244">
        <v>2050</v>
      </c>
      <c r="H32" s="244">
        <v>1981.7</v>
      </c>
      <c r="I32" s="244">
        <f t="shared" si="0"/>
        <v>96.66829268292683</v>
      </c>
      <c r="J32" s="244">
        <v>2050</v>
      </c>
      <c r="K32" s="244"/>
      <c r="L32" s="244"/>
      <c r="M32" s="244"/>
      <c r="N32" s="244"/>
      <c r="O32" s="244"/>
      <c r="P32" s="112"/>
    </row>
    <row r="33" spans="1:16" s="138" customFormat="1" ht="15.75">
      <c r="A33" s="114">
        <v>71005</v>
      </c>
      <c r="B33" s="113">
        <v>3113</v>
      </c>
      <c r="C33" s="134" t="s">
        <v>290</v>
      </c>
      <c r="D33" s="244"/>
      <c r="E33" s="281"/>
      <c r="F33" s="244">
        <v>8220</v>
      </c>
      <c r="G33" s="244">
        <v>21544</v>
      </c>
      <c r="H33" s="244">
        <v>21335.1</v>
      </c>
      <c r="I33" s="244">
        <f t="shared" si="0"/>
        <v>99.03035647976233</v>
      </c>
      <c r="J33" s="244">
        <v>21544</v>
      </c>
      <c r="K33" s="244"/>
      <c r="L33" s="244"/>
      <c r="M33" s="244"/>
      <c r="N33" s="244"/>
      <c r="O33" s="244"/>
      <c r="P33" s="112"/>
    </row>
    <row r="34" spans="1:16" s="138" customFormat="1" ht="15.75">
      <c r="A34" s="114">
        <v>81015</v>
      </c>
      <c r="B34" s="113">
        <v>3113</v>
      </c>
      <c r="C34" s="134" t="s">
        <v>291</v>
      </c>
      <c r="D34" s="244"/>
      <c r="E34" s="281"/>
      <c r="F34" s="244">
        <v>195</v>
      </c>
      <c r="G34" s="244">
        <v>195</v>
      </c>
      <c r="H34" s="244">
        <v>0</v>
      </c>
      <c r="I34" s="244">
        <f t="shared" si="0"/>
        <v>0</v>
      </c>
      <c r="J34" s="244">
        <v>195</v>
      </c>
      <c r="K34" s="244"/>
      <c r="L34" s="244"/>
      <c r="M34" s="244"/>
      <c r="N34" s="244"/>
      <c r="O34" s="244"/>
      <c r="P34" s="112"/>
    </row>
    <row r="35" spans="1:16" s="138" customFormat="1" ht="15.75" customHeight="1">
      <c r="A35" s="114">
        <v>91013</v>
      </c>
      <c r="B35" s="113">
        <v>3113</v>
      </c>
      <c r="C35" s="148" t="s">
        <v>292</v>
      </c>
      <c r="D35" s="341"/>
      <c r="E35" s="342"/>
      <c r="F35" s="292">
        <v>0</v>
      </c>
      <c r="G35" s="292">
        <v>4310</v>
      </c>
      <c r="H35" s="244">
        <v>3245.9</v>
      </c>
      <c r="I35" s="244">
        <f t="shared" si="0"/>
        <v>75.3109048723898</v>
      </c>
      <c r="J35" s="244">
        <v>3246</v>
      </c>
      <c r="K35" s="292"/>
      <c r="L35" s="244"/>
      <c r="M35" s="244"/>
      <c r="N35" s="244"/>
      <c r="O35" s="244"/>
      <c r="P35" s="112"/>
    </row>
    <row r="36" spans="1:16" s="138" customFormat="1" ht="15.75">
      <c r="A36" s="114">
        <v>71019</v>
      </c>
      <c r="B36" s="113">
        <v>3322</v>
      </c>
      <c r="C36" s="134" t="s">
        <v>293</v>
      </c>
      <c r="D36" s="244"/>
      <c r="E36" s="281"/>
      <c r="F36" s="244">
        <v>50000</v>
      </c>
      <c r="G36" s="244">
        <v>26815</v>
      </c>
      <c r="H36" s="244">
        <v>24718.9</v>
      </c>
      <c r="I36" s="244">
        <f t="shared" si="0"/>
        <v>92.18310647025919</v>
      </c>
      <c r="J36" s="244">
        <v>25000</v>
      </c>
      <c r="K36" s="244"/>
      <c r="L36" s="244"/>
      <c r="M36" s="244"/>
      <c r="N36" s="244"/>
      <c r="O36" s="244"/>
      <c r="P36" s="112"/>
    </row>
    <row r="37" spans="1:16" s="138" customFormat="1" ht="15.75" customHeight="1">
      <c r="A37" s="114">
        <v>91003</v>
      </c>
      <c r="B37" s="113">
        <v>3322</v>
      </c>
      <c r="C37" s="134" t="s">
        <v>408</v>
      </c>
      <c r="D37" s="244"/>
      <c r="E37" s="281"/>
      <c r="F37" s="244">
        <v>1000</v>
      </c>
      <c r="G37" s="244">
        <v>0</v>
      </c>
      <c r="H37" s="244">
        <v>0</v>
      </c>
      <c r="I37" s="244" t="e">
        <f t="shared" si="0"/>
        <v>#DIV/0!</v>
      </c>
      <c r="J37" s="244">
        <v>0</v>
      </c>
      <c r="K37" s="244"/>
      <c r="L37" s="244"/>
      <c r="M37" s="244"/>
      <c r="N37" s="244"/>
      <c r="O37" s="244"/>
      <c r="P37" s="112"/>
    </row>
    <row r="38" spans="1:16" s="138" customFormat="1" ht="15.75" customHeight="1">
      <c r="A38" s="114">
        <v>91011</v>
      </c>
      <c r="B38" s="113">
        <v>3322</v>
      </c>
      <c r="C38" s="134" t="s">
        <v>294</v>
      </c>
      <c r="D38" s="244"/>
      <c r="E38" s="281"/>
      <c r="F38" s="244">
        <v>150</v>
      </c>
      <c r="G38" s="244">
        <v>0</v>
      </c>
      <c r="H38" s="244">
        <v>0</v>
      </c>
      <c r="I38" s="244" t="e">
        <f t="shared" si="0"/>
        <v>#DIV/0!</v>
      </c>
      <c r="J38" s="244">
        <v>0</v>
      </c>
      <c r="K38" s="244"/>
      <c r="L38" s="244"/>
      <c r="M38" s="244"/>
      <c r="N38" s="244"/>
      <c r="O38" s="244"/>
      <c r="P38" s="112"/>
    </row>
    <row r="39" spans="1:16" s="138" customFormat="1" ht="15.75" customHeight="1">
      <c r="A39" s="147">
        <v>91014</v>
      </c>
      <c r="B39" s="113">
        <v>3326</v>
      </c>
      <c r="C39" s="134" t="s">
        <v>295</v>
      </c>
      <c r="D39" s="244"/>
      <c r="E39" s="281"/>
      <c r="F39" s="244">
        <v>0</v>
      </c>
      <c r="G39" s="244">
        <v>471</v>
      </c>
      <c r="H39" s="244">
        <v>114.3</v>
      </c>
      <c r="I39" s="244">
        <f t="shared" si="0"/>
        <v>24.26751592356688</v>
      </c>
      <c r="J39" s="244">
        <v>471</v>
      </c>
      <c r="K39" s="244"/>
      <c r="L39" s="244"/>
      <c r="M39" s="244"/>
      <c r="N39" s="244"/>
      <c r="O39" s="244"/>
      <c r="P39" s="112"/>
    </row>
    <row r="40" spans="1:16" s="138" customFormat="1" ht="15.75">
      <c r="A40" s="114">
        <v>71015</v>
      </c>
      <c r="B40" s="113">
        <v>3392</v>
      </c>
      <c r="C40" s="134" t="s">
        <v>297</v>
      </c>
      <c r="D40" s="244"/>
      <c r="E40" s="281"/>
      <c r="F40" s="244">
        <v>7800</v>
      </c>
      <c r="G40" s="244">
        <f>7800+5500</f>
        <v>13300</v>
      </c>
      <c r="H40" s="244">
        <v>12889.1</v>
      </c>
      <c r="I40" s="244">
        <f t="shared" si="0"/>
        <v>96.91052631578948</v>
      </c>
      <c r="J40" s="244">
        <v>12889</v>
      </c>
      <c r="K40" s="244"/>
      <c r="L40" s="244"/>
      <c r="M40" s="244"/>
      <c r="N40" s="244"/>
      <c r="O40" s="244"/>
      <c r="P40" s="112"/>
    </row>
    <row r="41" spans="1:16" s="138" customFormat="1" ht="15.75">
      <c r="A41" s="114">
        <v>71009</v>
      </c>
      <c r="B41" s="113">
        <v>3412</v>
      </c>
      <c r="C41" s="148" t="s">
        <v>298</v>
      </c>
      <c r="D41" s="341"/>
      <c r="E41" s="342"/>
      <c r="F41" s="244">
        <f>800+5000</f>
        <v>5800</v>
      </c>
      <c r="G41" s="244">
        <v>18500</v>
      </c>
      <c r="H41" s="244">
        <v>1456.2</v>
      </c>
      <c r="I41" s="244">
        <f t="shared" si="0"/>
        <v>7.871351351351352</v>
      </c>
      <c r="J41" s="244">
        <v>19000</v>
      </c>
      <c r="K41" s="244"/>
      <c r="L41" s="244">
        <v>24500</v>
      </c>
      <c r="M41" s="245"/>
      <c r="N41" s="245"/>
      <c r="O41" s="245"/>
      <c r="P41" s="30" t="s">
        <v>427</v>
      </c>
    </row>
    <row r="42" spans="1:16" s="138" customFormat="1" ht="15.75">
      <c r="A42" s="114">
        <v>71013</v>
      </c>
      <c r="B42" s="113">
        <v>3412</v>
      </c>
      <c r="C42" s="148" t="s">
        <v>299</v>
      </c>
      <c r="D42" s="341"/>
      <c r="E42" s="342"/>
      <c r="F42" s="244">
        <v>250</v>
      </c>
      <c r="G42" s="244">
        <v>0</v>
      </c>
      <c r="H42" s="244">
        <v>0</v>
      </c>
      <c r="I42" s="244" t="e">
        <f t="shared" si="0"/>
        <v>#DIV/0!</v>
      </c>
      <c r="J42" s="244">
        <v>0</v>
      </c>
      <c r="K42" s="244"/>
      <c r="L42" s="244"/>
      <c r="M42" s="244"/>
      <c r="N42" s="244"/>
      <c r="O42" s="244"/>
      <c r="P42" s="112"/>
    </row>
    <row r="43" spans="1:16" s="138" customFormat="1" ht="15.75">
      <c r="A43" s="114">
        <v>81002</v>
      </c>
      <c r="B43" s="113">
        <v>3412</v>
      </c>
      <c r="C43" s="148" t="s">
        <v>300</v>
      </c>
      <c r="D43" s="341"/>
      <c r="E43" s="342"/>
      <c r="F43" s="244">
        <v>0</v>
      </c>
      <c r="G43" s="244">
        <v>833</v>
      </c>
      <c r="H43" s="244">
        <v>0</v>
      </c>
      <c r="I43" s="244">
        <f t="shared" si="0"/>
        <v>0</v>
      </c>
      <c r="J43" s="244">
        <v>833</v>
      </c>
      <c r="K43" s="244"/>
      <c r="L43" s="244"/>
      <c r="M43" s="244"/>
      <c r="N43" s="244"/>
      <c r="O43" s="244"/>
      <c r="P43" s="112"/>
    </row>
    <row r="44" spans="1:16" s="138" customFormat="1" ht="15.75">
      <c r="A44" s="114">
        <v>81013</v>
      </c>
      <c r="B44" s="113">
        <v>3412</v>
      </c>
      <c r="C44" s="148" t="s">
        <v>301</v>
      </c>
      <c r="D44" s="341"/>
      <c r="E44" s="342"/>
      <c r="F44" s="244">
        <v>54</v>
      </c>
      <c r="G44" s="244">
        <v>54</v>
      </c>
      <c r="H44" s="244">
        <v>0</v>
      </c>
      <c r="I44" s="244">
        <f t="shared" si="0"/>
        <v>0</v>
      </c>
      <c r="J44" s="244">
        <v>0</v>
      </c>
      <c r="K44" s="244"/>
      <c r="L44" s="244"/>
      <c r="M44" s="244"/>
      <c r="N44" s="244"/>
      <c r="O44" s="244"/>
      <c r="P44" s="112"/>
    </row>
    <row r="45" spans="1:16" s="138" customFormat="1" ht="15.75" customHeight="1">
      <c r="A45" s="114">
        <v>81016</v>
      </c>
      <c r="B45" s="113">
        <v>3421</v>
      </c>
      <c r="C45" s="134" t="s">
        <v>303</v>
      </c>
      <c r="D45" s="244"/>
      <c r="E45" s="281"/>
      <c r="F45" s="244">
        <v>500</v>
      </c>
      <c r="G45" s="244">
        <v>500</v>
      </c>
      <c r="H45" s="244">
        <v>7.1</v>
      </c>
      <c r="I45" s="244">
        <f t="shared" si="0"/>
        <v>1.42</v>
      </c>
      <c r="J45" s="244">
        <v>200</v>
      </c>
      <c r="K45" s="244"/>
      <c r="L45" s="244">
        <v>2000</v>
      </c>
      <c r="M45" s="244"/>
      <c r="N45" s="244"/>
      <c r="O45" s="244"/>
      <c r="P45" s="112"/>
    </row>
    <row r="46" spans="1:16" s="138" customFormat="1" ht="15.75" customHeight="1">
      <c r="A46" s="114">
        <v>91002</v>
      </c>
      <c r="B46" s="113">
        <v>3421</v>
      </c>
      <c r="C46" s="148" t="s">
        <v>304</v>
      </c>
      <c r="D46" s="341"/>
      <c r="E46" s="342"/>
      <c r="F46" s="292">
        <v>300</v>
      </c>
      <c r="G46" s="292">
        <v>472</v>
      </c>
      <c r="H46" s="292">
        <v>471.2</v>
      </c>
      <c r="I46" s="244">
        <f t="shared" si="0"/>
        <v>99.83050847457628</v>
      </c>
      <c r="J46" s="244">
        <v>472</v>
      </c>
      <c r="K46" s="292"/>
      <c r="L46" s="292"/>
      <c r="M46" s="292"/>
      <c r="N46" s="292"/>
      <c r="O46" s="292"/>
      <c r="P46" s="149"/>
    </row>
    <row r="47" spans="1:16" s="138" customFormat="1" ht="15" customHeight="1">
      <c r="A47" s="114">
        <v>91009</v>
      </c>
      <c r="B47" s="113">
        <v>3421</v>
      </c>
      <c r="C47" s="134" t="s">
        <v>305</v>
      </c>
      <c r="D47" s="244"/>
      <c r="E47" s="281"/>
      <c r="F47" s="244">
        <v>400</v>
      </c>
      <c r="G47" s="244">
        <v>400</v>
      </c>
      <c r="H47" s="244">
        <v>398.3</v>
      </c>
      <c r="I47" s="244">
        <f t="shared" si="0"/>
        <v>99.575</v>
      </c>
      <c r="J47" s="244">
        <v>400</v>
      </c>
      <c r="K47" s="244"/>
      <c r="L47" s="244"/>
      <c r="M47" s="244"/>
      <c r="N47" s="244"/>
      <c r="O47" s="244"/>
      <c r="P47" s="112"/>
    </row>
    <row r="48" spans="1:16" s="138" customFormat="1" ht="15.75">
      <c r="A48" s="114">
        <v>81021</v>
      </c>
      <c r="B48" s="113">
        <v>3631</v>
      </c>
      <c r="C48" s="134" t="s">
        <v>306</v>
      </c>
      <c r="D48" s="244"/>
      <c r="E48" s="281"/>
      <c r="F48" s="244">
        <v>150</v>
      </c>
      <c r="G48" s="244">
        <v>90</v>
      </c>
      <c r="H48" s="244">
        <v>89.3</v>
      </c>
      <c r="I48" s="244">
        <f t="shared" si="0"/>
        <v>99.22222222222223</v>
      </c>
      <c r="J48" s="244">
        <v>90</v>
      </c>
      <c r="K48" s="244"/>
      <c r="L48" s="244"/>
      <c r="M48" s="244"/>
      <c r="N48" s="244"/>
      <c r="O48" s="244"/>
      <c r="P48" s="112"/>
    </row>
    <row r="49" spans="1:16" s="138" customFormat="1" ht="15.75">
      <c r="A49" s="114">
        <v>81022</v>
      </c>
      <c r="B49" s="113">
        <v>3631</v>
      </c>
      <c r="C49" s="134" t="s">
        <v>307</v>
      </c>
      <c r="D49" s="281"/>
      <c r="E49" s="281"/>
      <c r="F49" s="244">
        <v>300</v>
      </c>
      <c r="G49" s="244">
        <v>295</v>
      </c>
      <c r="H49" s="244">
        <v>294.3</v>
      </c>
      <c r="I49" s="244">
        <f t="shared" si="0"/>
        <v>99.76271186440678</v>
      </c>
      <c r="J49" s="244">
        <v>295</v>
      </c>
      <c r="K49" s="244"/>
      <c r="L49" s="244"/>
      <c r="M49" s="244"/>
      <c r="N49" s="244"/>
      <c r="O49" s="244"/>
      <c r="P49" s="112"/>
    </row>
    <row r="50" spans="1:16" s="138" customFormat="1" ht="15.75">
      <c r="A50" s="114"/>
      <c r="B50" s="113">
        <v>2219</v>
      </c>
      <c r="C50" s="150" t="s">
        <v>493</v>
      </c>
      <c r="D50" s="292"/>
      <c r="E50" s="292"/>
      <c r="F50" s="244"/>
      <c r="G50" s="244"/>
      <c r="H50" s="244"/>
      <c r="I50" s="244"/>
      <c r="J50" s="244"/>
      <c r="K50" s="244"/>
      <c r="L50" s="244">
        <v>7500</v>
      </c>
      <c r="M50" s="244"/>
      <c r="N50" s="244"/>
      <c r="O50" s="244"/>
      <c r="P50" s="215" t="s">
        <v>429</v>
      </c>
    </row>
    <row r="51" spans="1:16" s="138" customFormat="1" ht="15.75">
      <c r="A51" s="114"/>
      <c r="B51" s="113"/>
      <c r="C51" s="140" t="s">
        <v>446</v>
      </c>
      <c r="D51" s="247">
        <f>SUM(D18:D50)</f>
        <v>0</v>
      </c>
      <c r="E51" s="247">
        <f>SUM(E18:E50)</f>
        <v>0</v>
      </c>
      <c r="F51" s="247">
        <f>SUM(F18:F50)</f>
        <v>118999</v>
      </c>
      <c r="G51" s="247">
        <f aca="true" t="shared" si="1" ref="G51:O51">SUM(G18:G50)</f>
        <v>158538</v>
      </c>
      <c r="H51" s="247">
        <f t="shared" si="1"/>
        <v>88276.80000000002</v>
      </c>
      <c r="I51" s="247" t="e">
        <f t="shared" si="1"/>
        <v>#DIV/0!</v>
      </c>
      <c r="J51" s="247">
        <f t="shared" si="1"/>
        <v>155267</v>
      </c>
      <c r="K51" s="247">
        <f t="shared" si="1"/>
        <v>21802</v>
      </c>
      <c r="L51" s="247">
        <f t="shared" si="1"/>
        <v>79500</v>
      </c>
      <c r="M51" s="247">
        <f t="shared" si="1"/>
        <v>0</v>
      </c>
      <c r="N51" s="247">
        <f t="shared" si="1"/>
        <v>0</v>
      </c>
      <c r="O51" s="247">
        <f t="shared" si="1"/>
        <v>0</v>
      </c>
      <c r="P51" s="166"/>
    </row>
    <row r="52" spans="1:16" s="138" customFormat="1" ht="15.75" customHeight="1">
      <c r="A52" s="114"/>
      <c r="B52" s="113"/>
      <c r="C52" s="146"/>
      <c r="D52" s="340"/>
      <c r="E52" s="340"/>
      <c r="F52" s="292"/>
      <c r="G52" s="292"/>
      <c r="H52" s="292"/>
      <c r="I52" s="244"/>
      <c r="J52" s="244"/>
      <c r="K52" s="292"/>
      <c r="L52" s="292"/>
      <c r="M52" s="298"/>
      <c r="N52" s="298"/>
      <c r="O52" s="298"/>
      <c r="P52" s="174"/>
    </row>
    <row r="53" spans="1:16" s="138" customFormat="1" ht="15.75" customHeight="1">
      <c r="A53" s="114"/>
      <c r="B53" s="113"/>
      <c r="C53" s="146"/>
      <c r="D53" s="340"/>
      <c r="E53" s="340"/>
      <c r="F53" s="292"/>
      <c r="G53" s="292"/>
      <c r="H53" s="292"/>
      <c r="I53" s="244"/>
      <c r="J53" s="244"/>
      <c r="K53" s="292"/>
      <c r="L53" s="292"/>
      <c r="M53" s="298"/>
      <c r="N53" s="298"/>
      <c r="O53" s="298"/>
      <c r="P53" s="174"/>
    </row>
    <row r="54" spans="1:16" s="138" customFormat="1" ht="15.75" customHeight="1">
      <c r="A54" s="114"/>
      <c r="B54" s="113"/>
      <c r="C54" s="146"/>
      <c r="D54" s="340"/>
      <c r="E54" s="340"/>
      <c r="F54" s="292"/>
      <c r="G54" s="292"/>
      <c r="H54" s="292"/>
      <c r="I54" s="244"/>
      <c r="J54" s="244"/>
      <c r="K54" s="292"/>
      <c r="L54" s="292"/>
      <c r="M54" s="298"/>
      <c r="N54" s="298"/>
      <c r="O54" s="298"/>
      <c r="P54" s="174"/>
    </row>
    <row r="55" spans="1:16" s="138" customFormat="1" ht="15.75" customHeight="1">
      <c r="A55" s="114"/>
      <c r="B55" s="113"/>
      <c r="C55" s="146"/>
      <c r="D55" s="340"/>
      <c r="E55" s="340"/>
      <c r="F55" s="292"/>
      <c r="G55" s="292"/>
      <c r="H55" s="292"/>
      <c r="I55" s="244"/>
      <c r="J55" s="244"/>
      <c r="K55" s="292"/>
      <c r="L55" s="292"/>
      <c r="M55" s="298"/>
      <c r="N55" s="298"/>
      <c r="O55" s="298"/>
      <c r="P55" s="174"/>
    </row>
    <row r="56" spans="1:16" s="138" customFormat="1" ht="15.75" customHeight="1">
      <c r="A56" s="114"/>
      <c r="B56" s="113"/>
      <c r="C56" s="146"/>
      <c r="D56" s="340"/>
      <c r="E56" s="340"/>
      <c r="F56" s="292"/>
      <c r="G56" s="292"/>
      <c r="H56" s="292"/>
      <c r="I56" s="244"/>
      <c r="J56" s="244"/>
      <c r="K56" s="292"/>
      <c r="L56" s="292"/>
      <c r="M56" s="298"/>
      <c r="N56" s="298"/>
      <c r="O56" s="298"/>
      <c r="P56" s="174"/>
    </row>
    <row r="57" spans="1:16" s="138" customFormat="1" ht="15.75" customHeight="1" thickBot="1">
      <c r="A57" s="114"/>
      <c r="B57" s="113"/>
      <c r="C57" s="146"/>
      <c r="D57" s="340"/>
      <c r="E57" s="340"/>
      <c r="F57" s="292"/>
      <c r="G57" s="292"/>
      <c r="H57" s="292"/>
      <c r="I57" s="244"/>
      <c r="J57" s="244"/>
      <c r="K57" s="292"/>
      <c r="L57" s="292"/>
      <c r="M57" s="298"/>
      <c r="N57" s="298"/>
      <c r="O57" s="298"/>
      <c r="P57" s="174"/>
    </row>
    <row r="58" spans="1:16" s="138" customFormat="1" ht="15.75" customHeight="1">
      <c r="A58" s="101" t="s">
        <v>2</v>
      </c>
      <c r="B58" s="100" t="s">
        <v>3</v>
      </c>
      <c r="C58" s="100" t="s">
        <v>5</v>
      </c>
      <c r="D58" s="9" t="s">
        <v>7</v>
      </c>
      <c r="E58" s="10" t="s">
        <v>7</v>
      </c>
      <c r="F58" s="101" t="s">
        <v>499</v>
      </c>
      <c r="G58" s="101" t="s">
        <v>500</v>
      </c>
      <c r="H58" s="11" t="s">
        <v>7</v>
      </c>
      <c r="I58" s="101" t="s">
        <v>8</v>
      </c>
      <c r="J58" s="101" t="s">
        <v>404</v>
      </c>
      <c r="K58" s="101" t="s">
        <v>410</v>
      </c>
      <c r="L58" s="101" t="s">
        <v>6</v>
      </c>
      <c r="M58" s="101" t="s">
        <v>410</v>
      </c>
      <c r="N58" s="101" t="s">
        <v>6</v>
      </c>
      <c r="O58" s="101" t="s">
        <v>6</v>
      </c>
      <c r="P58" s="174"/>
    </row>
    <row r="59" spans="1:16" s="138" customFormat="1" ht="15.75" customHeight="1" thickBot="1">
      <c r="A59" s="102"/>
      <c r="B59" s="103"/>
      <c r="C59" s="131"/>
      <c r="D59" s="12">
        <v>2007</v>
      </c>
      <c r="E59" s="331">
        <v>2008</v>
      </c>
      <c r="F59" s="105" t="s">
        <v>405</v>
      </c>
      <c r="G59" s="105" t="s">
        <v>405</v>
      </c>
      <c r="H59" s="14" t="s">
        <v>433</v>
      </c>
      <c r="I59" s="105" t="s">
        <v>234</v>
      </c>
      <c r="J59" s="105" t="s">
        <v>405</v>
      </c>
      <c r="K59" s="105" t="s">
        <v>402</v>
      </c>
      <c r="L59" s="105" t="s">
        <v>402</v>
      </c>
      <c r="M59" s="105" t="s">
        <v>440</v>
      </c>
      <c r="N59" s="105" t="s">
        <v>440</v>
      </c>
      <c r="O59" s="105" t="s">
        <v>441</v>
      </c>
      <c r="P59" s="174"/>
    </row>
    <row r="60" spans="1:16" s="138" customFormat="1" ht="15.75" customHeight="1" thickTop="1">
      <c r="A60" s="114"/>
      <c r="B60" s="113"/>
      <c r="C60" s="146" t="s">
        <v>442</v>
      </c>
      <c r="D60" s="340"/>
      <c r="E60" s="340"/>
      <c r="F60" s="292"/>
      <c r="G60" s="292"/>
      <c r="H60" s="292"/>
      <c r="I60" s="244"/>
      <c r="J60" s="244"/>
      <c r="K60" s="292"/>
      <c r="L60" s="292"/>
      <c r="M60" s="298"/>
      <c r="N60" s="298"/>
      <c r="O60" s="298"/>
      <c r="P60" s="174"/>
    </row>
    <row r="61" spans="1:16" s="138" customFormat="1" ht="15.75" customHeight="1">
      <c r="A61" s="114"/>
      <c r="B61" s="113"/>
      <c r="C61" s="146"/>
      <c r="D61" s="340"/>
      <c r="E61" s="340"/>
      <c r="F61" s="292"/>
      <c r="G61" s="292"/>
      <c r="H61" s="292"/>
      <c r="I61" s="244"/>
      <c r="J61" s="244"/>
      <c r="K61" s="292"/>
      <c r="L61" s="292"/>
      <c r="M61" s="298"/>
      <c r="N61" s="298"/>
      <c r="O61" s="298"/>
      <c r="P61" s="174"/>
    </row>
    <row r="62" spans="1:16" s="138" customFormat="1" ht="15.75">
      <c r="A62" s="348">
        <v>61005</v>
      </c>
      <c r="B62" s="349">
        <v>2212</v>
      </c>
      <c r="C62" s="350" t="s">
        <v>274</v>
      </c>
      <c r="D62" s="351"/>
      <c r="E62" s="351"/>
      <c r="F62" s="352">
        <v>2360</v>
      </c>
      <c r="G62" s="352">
        <v>2360</v>
      </c>
      <c r="H62" s="352">
        <v>62.7</v>
      </c>
      <c r="I62" s="352">
        <f aca="true" t="shared" si="2" ref="I62:I79">(H62/G62)*100</f>
        <v>2.6567796610169494</v>
      </c>
      <c r="J62" s="352">
        <v>2360</v>
      </c>
      <c r="K62" s="352">
        <v>0</v>
      </c>
      <c r="L62" s="352">
        <v>4000</v>
      </c>
      <c r="M62" s="352"/>
      <c r="N62" s="352"/>
      <c r="O62" s="352"/>
      <c r="P62" s="112"/>
    </row>
    <row r="63" spans="1:16" s="138" customFormat="1" ht="15.75">
      <c r="A63" s="348">
        <v>81005</v>
      </c>
      <c r="B63" s="349">
        <v>2212</v>
      </c>
      <c r="C63" s="350" t="s">
        <v>444</v>
      </c>
      <c r="D63" s="351"/>
      <c r="E63" s="351"/>
      <c r="F63" s="352">
        <v>20</v>
      </c>
      <c r="G63" s="352">
        <v>20</v>
      </c>
      <c r="H63" s="352">
        <v>14.3</v>
      </c>
      <c r="I63" s="352">
        <f t="shared" si="2"/>
        <v>71.50000000000001</v>
      </c>
      <c r="J63" s="352">
        <v>15</v>
      </c>
      <c r="K63" s="352">
        <v>0</v>
      </c>
      <c r="L63" s="352">
        <v>13000</v>
      </c>
      <c r="M63" s="352"/>
      <c r="N63" s="352"/>
      <c r="O63" s="352"/>
      <c r="P63" s="112"/>
    </row>
    <row r="64" spans="1:16" s="138" customFormat="1" ht="15.75">
      <c r="A64" s="353">
        <v>91015</v>
      </c>
      <c r="B64" s="349">
        <v>2212</v>
      </c>
      <c r="C64" s="350" t="s">
        <v>505</v>
      </c>
      <c r="D64" s="351"/>
      <c r="E64" s="351"/>
      <c r="F64" s="352">
        <v>0</v>
      </c>
      <c r="G64" s="352">
        <v>698</v>
      </c>
      <c r="H64" s="352">
        <v>50.2</v>
      </c>
      <c r="I64" s="352">
        <f t="shared" si="2"/>
        <v>7.191977077363896</v>
      </c>
      <c r="J64" s="352">
        <v>962</v>
      </c>
      <c r="K64" s="352"/>
      <c r="L64" s="352">
        <v>15500</v>
      </c>
      <c r="M64" s="352"/>
      <c r="N64" s="352"/>
      <c r="O64" s="352"/>
      <c r="P64" s="214" t="s">
        <v>451</v>
      </c>
    </row>
    <row r="65" spans="1:16" s="138" customFormat="1" ht="15.75">
      <c r="A65" s="348">
        <v>71002</v>
      </c>
      <c r="B65" s="349">
        <v>2219</v>
      </c>
      <c r="C65" s="350" t="s">
        <v>279</v>
      </c>
      <c r="D65" s="351"/>
      <c r="E65" s="351"/>
      <c r="F65" s="352">
        <v>9300</v>
      </c>
      <c r="G65" s="352">
        <v>6300</v>
      </c>
      <c r="H65" s="352">
        <v>36.9</v>
      </c>
      <c r="I65" s="352">
        <f t="shared" si="2"/>
        <v>0.5857142857142856</v>
      </c>
      <c r="J65" s="352">
        <v>37</v>
      </c>
      <c r="K65" s="352"/>
      <c r="L65" s="352">
        <v>10000</v>
      </c>
      <c r="M65" s="352"/>
      <c r="N65" s="352">
        <v>10000</v>
      </c>
      <c r="O65" s="352"/>
      <c r="P65" s="112"/>
    </row>
    <row r="66" spans="1:16" s="138" customFormat="1" ht="15.75" hidden="1">
      <c r="A66" s="348">
        <v>71010</v>
      </c>
      <c r="B66" s="349">
        <v>2219</v>
      </c>
      <c r="C66" s="350" t="s">
        <v>280</v>
      </c>
      <c r="D66" s="351"/>
      <c r="E66" s="351"/>
      <c r="F66" s="352">
        <v>0</v>
      </c>
      <c r="G66" s="352">
        <v>0</v>
      </c>
      <c r="H66" s="352"/>
      <c r="I66" s="352" t="e">
        <f t="shared" si="2"/>
        <v>#DIV/0!</v>
      </c>
      <c r="J66" s="352"/>
      <c r="K66" s="352"/>
      <c r="L66" s="352"/>
      <c r="M66" s="352"/>
      <c r="N66" s="352"/>
      <c r="O66" s="352"/>
      <c r="P66" s="112"/>
    </row>
    <row r="67" spans="1:16" s="138" customFormat="1" ht="15.75">
      <c r="A67" s="348">
        <v>71010</v>
      </c>
      <c r="B67" s="349">
        <v>2219</v>
      </c>
      <c r="C67" s="350" t="s">
        <v>413</v>
      </c>
      <c r="D67" s="351"/>
      <c r="E67" s="351"/>
      <c r="F67" s="352">
        <v>0</v>
      </c>
      <c r="G67" s="352">
        <v>0</v>
      </c>
      <c r="H67" s="352">
        <v>0</v>
      </c>
      <c r="I67" s="352" t="e">
        <f t="shared" si="2"/>
        <v>#DIV/0!</v>
      </c>
      <c r="J67" s="352">
        <v>0</v>
      </c>
      <c r="K67" s="352">
        <v>5000</v>
      </c>
      <c r="L67" s="352">
        <v>5000</v>
      </c>
      <c r="M67" s="352"/>
      <c r="N67" s="352"/>
      <c r="O67" s="352"/>
      <c r="P67" s="112"/>
    </row>
    <row r="68" spans="1:16" s="138" customFormat="1" ht="15.75" customHeight="1">
      <c r="A68" s="348">
        <v>91005</v>
      </c>
      <c r="B68" s="349">
        <v>2219</v>
      </c>
      <c r="C68" s="354" t="s">
        <v>514</v>
      </c>
      <c r="D68" s="355"/>
      <c r="E68" s="355"/>
      <c r="F68" s="352">
        <v>200</v>
      </c>
      <c r="G68" s="352">
        <v>120</v>
      </c>
      <c r="H68" s="352">
        <v>0</v>
      </c>
      <c r="I68" s="352">
        <f t="shared" si="2"/>
        <v>0</v>
      </c>
      <c r="J68" s="352">
        <v>200</v>
      </c>
      <c r="K68" s="352"/>
      <c r="L68" s="352">
        <v>12800</v>
      </c>
      <c r="M68" s="352"/>
      <c r="N68" s="352">
        <v>5000</v>
      </c>
      <c r="O68" s="352"/>
      <c r="P68" s="149"/>
    </row>
    <row r="69" spans="1:16" s="138" customFormat="1" ht="15.75">
      <c r="A69" s="348">
        <v>71007</v>
      </c>
      <c r="B69" s="349">
        <v>2221</v>
      </c>
      <c r="C69" s="350" t="s">
        <v>285</v>
      </c>
      <c r="D69" s="351"/>
      <c r="E69" s="351"/>
      <c r="F69" s="352">
        <v>2000</v>
      </c>
      <c r="G69" s="352">
        <v>2357</v>
      </c>
      <c r="H69" s="352">
        <v>0</v>
      </c>
      <c r="I69" s="352">
        <f t="shared" si="2"/>
        <v>0</v>
      </c>
      <c r="J69" s="352">
        <v>2357</v>
      </c>
      <c r="K69" s="352"/>
      <c r="L69" s="352">
        <v>7500</v>
      </c>
      <c r="M69" s="352"/>
      <c r="N69" s="352">
        <v>80000</v>
      </c>
      <c r="O69" s="352">
        <v>50000</v>
      </c>
      <c r="P69" s="214" t="s">
        <v>452</v>
      </c>
    </row>
    <row r="70" spans="1:16" s="138" customFormat="1" ht="15.75">
      <c r="A70" s="348"/>
      <c r="B70" s="349"/>
      <c r="C70" s="350" t="s">
        <v>502</v>
      </c>
      <c r="D70" s="351"/>
      <c r="E70" s="351"/>
      <c r="F70" s="352"/>
      <c r="G70" s="352"/>
      <c r="H70" s="352"/>
      <c r="I70" s="352"/>
      <c r="J70" s="352"/>
      <c r="K70" s="352"/>
      <c r="L70" s="352">
        <v>6400</v>
      </c>
      <c r="M70" s="352"/>
      <c r="N70" s="352"/>
      <c r="O70" s="352"/>
      <c r="P70" s="214"/>
    </row>
    <row r="71" spans="1:16" s="138" customFormat="1" ht="15.75">
      <c r="A71" s="348">
        <v>81018</v>
      </c>
      <c r="B71" s="349">
        <v>3113</v>
      </c>
      <c r="C71" s="350" t="s">
        <v>504</v>
      </c>
      <c r="D71" s="351"/>
      <c r="E71" s="351"/>
      <c r="F71" s="352">
        <v>1500</v>
      </c>
      <c r="G71" s="352">
        <f>1500+63</f>
        <v>1563</v>
      </c>
      <c r="H71" s="352">
        <v>1562.4</v>
      </c>
      <c r="I71" s="352">
        <f t="shared" si="2"/>
        <v>99.9616122840691</v>
      </c>
      <c r="J71" s="352">
        <v>1563</v>
      </c>
      <c r="K71" s="352"/>
      <c r="L71" s="352">
        <v>25000</v>
      </c>
      <c r="M71" s="352"/>
      <c r="N71" s="352"/>
      <c r="O71" s="352"/>
      <c r="P71" s="112" t="s">
        <v>453</v>
      </c>
    </row>
    <row r="72" spans="1:16" s="138" customFormat="1" ht="15.75" customHeight="1">
      <c r="A72" s="348">
        <v>91006</v>
      </c>
      <c r="B72" s="349">
        <v>3113</v>
      </c>
      <c r="C72" s="354" t="s">
        <v>506</v>
      </c>
      <c r="D72" s="355"/>
      <c r="E72" s="355"/>
      <c r="F72" s="352">
        <v>250</v>
      </c>
      <c r="G72" s="352">
        <v>140</v>
      </c>
      <c r="H72" s="352">
        <v>159.1</v>
      </c>
      <c r="I72" s="352">
        <f t="shared" si="2"/>
        <v>113.64285714285714</v>
      </c>
      <c r="J72" s="352">
        <v>250</v>
      </c>
      <c r="K72" s="352"/>
      <c r="L72" s="352">
        <v>7000</v>
      </c>
      <c r="M72" s="352"/>
      <c r="N72" s="352">
        <v>7000</v>
      </c>
      <c r="O72" s="352"/>
      <c r="P72" s="149"/>
    </row>
    <row r="73" spans="1:16" s="138" customFormat="1" ht="15.75" customHeight="1">
      <c r="A73" s="348">
        <v>91018</v>
      </c>
      <c r="B73" s="349">
        <v>3111</v>
      </c>
      <c r="C73" s="350" t="s">
        <v>507</v>
      </c>
      <c r="D73" s="351"/>
      <c r="E73" s="351"/>
      <c r="F73" s="352">
        <v>0</v>
      </c>
      <c r="G73" s="352">
        <v>750</v>
      </c>
      <c r="H73" s="352">
        <v>0</v>
      </c>
      <c r="I73" s="352">
        <f t="shared" si="2"/>
        <v>0</v>
      </c>
      <c r="J73" s="352">
        <v>750</v>
      </c>
      <c r="K73" s="352"/>
      <c r="L73" s="352">
        <v>5000</v>
      </c>
      <c r="M73" s="352"/>
      <c r="N73" s="352"/>
      <c r="O73" s="352"/>
      <c r="P73" s="149"/>
    </row>
    <row r="74" spans="1:16" s="138" customFormat="1" ht="15.75">
      <c r="A74" s="348">
        <v>81001</v>
      </c>
      <c r="B74" s="349">
        <v>3322</v>
      </c>
      <c r="C74" s="350" t="s">
        <v>508</v>
      </c>
      <c r="D74" s="351"/>
      <c r="E74" s="351"/>
      <c r="F74" s="352">
        <v>0</v>
      </c>
      <c r="G74" s="352">
        <v>0</v>
      </c>
      <c r="H74" s="352">
        <v>0</v>
      </c>
      <c r="I74" s="352" t="e">
        <f t="shared" si="2"/>
        <v>#DIV/0!</v>
      </c>
      <c r="J74" s="352">
        <v>0</v>
      </c>
      <c r="K74" s="352">
        <v>7500</v>
      </c>
      <c r="L74" s="352">
        <v>7500</v>
      </c>
      <c r="M74" s="352"/>
      <c r="N74" s="352"/>
      <c r="O74" s="352"/>
      <c r="P74" s="112"/>
    </row>
    <row r="75" spans="1:16" s="138" customFormat="1" ht="15.75">
      <c r="A75" s="348">
        <v>81019</v>
      </c>
      <c r="B75" s="349">
        <v>3329</v>
      </c>
      <c r="C75" s="350" t="s">
        <v>296</v>
      </c>
      <c r="D75" s="351"/>
      <c r="E75" s="351"/>
      <c r="F75" s="352">
        <v>4000</v>
      </c>
      <c r="G75" s="352">
        <v>4000</v>
      </c>
      <c r="H75" s="352">
        <v>101.5</v>
      </c>
      <c r="I75" s="352">
        <f t="shared" si="2"/>
        <v>2.5375</v>
      </c>
      <c r="J75" s="352">
        <v>500</v>
      </c>
      <c r="K75" s="352"/>
      <c r="L75" s="352">
        <v>4000</v>
      </c>
      <c r="M75" s="352"/>
      <c r="N75" s="352"/>
      <c r="O75" s="352"/>
      <c r="P75" s="112"/>
    </row>
    <row r="76" spans="1:16" s="138" customFormat="1" ht="15.75" customHeight="1">
      <c r="A76" s="348">
        <v>91001</v>
      </c>
      <c r="B76" s="349">
        <v>3412</v>
      </c>
      <c r="C76" s="350" t="s">
        <v>302</v>
      </c>
      <c r="D76" s="351"/>
      <c r="E76" s="351"/>
      <c r="F76" s="352">
        <v>2000</v>
      </c>
      <c r="G76" s="352">
        <v>0</v>
      </c>
      <c r="H76" s="352">
        <v>150.8</v>
      </c>
      <c r="I76" s="352" t="e">
        <f t="shared" si="2"/>
        <v>#DIV/0!</v>
      </c>
      <c r="J76" s="352">
        <v>151</v>
      </c>
      <c r="K76" s="352"/>
      <c r="L76" s="352">
        <v>2000</v>
      </c>
      <c r="M76" s="352"/>
      <c r="N76" s="352"/>
      <c r="O76" s="352"/>
      <c r="P76" s="112"/>
    </row>
    <row r="77" spans="1:16" s="138" customFormat="1" ht="15.75" customHeight="1">
      <c r="A77" s="348">
        <v>91010</v>
      </c>
      <c r="B77" s="349">
        <v>3412</v>
      </c>
      <c r="C77" s="350" t="s">
        <v>509</v>
      </c>
      <c r="D77" s="351"/>
      <c r="E77" s="351"/>
      <c r="F77" s="352">
        <v>1500</v>
      </c>
      <c r="G77" s="352">
        <v>2239</v>
      </c>
      <c r="H77" s="352">
        <v>2238.7</v>
      </c>
      <c r="I77" s="352">
        <f t="shared" si="2"/>
        <v>99.98660116123268</v>
      </c>
      <c r="J77" s="352">
        <v>2239</v>
      </c>
      <c r="K77" s="352"/>
      <c r="L77" s="352">
        <v>3000</v>
      </c>
      <c r="M77" s="352"/>
      <c r="N77" s="352">
        <v>3000</v>
      </c>
      <c r="O77" s="352"/>
      <c r="P77" s="112"/>
    </row>
    <row r="78" spans="1:16" s="138" customFormat="1" ht="15.75" customHeight="1">
      <c r="A78" s="348">
        <v>91004</v>
      </c>
      <c r="B78" s="349">
        <v>3632</v>
      </c>
      <c r="C78" s="354" t="s">
        <v>510</v>
      </c>
      <c r="D78" s="355"/>
      <c r="E78" s="355"/>
      <c r="F78" s="352">
        <v>250</v>
      </c>
      <c r="G78" s="352">
        <v>120</v>
      </c>
      <c r="H78" s="352">
        <v>118</v>
      </c>
      <c r="I78" s="352">
        <f t="shared" si="2"/>
        <v>98.33333333333333</v>
      </c>
      <c r="J78" s="352">
        <v>118</v>
      </c>
      <c r="K78" s="352"/>
      <c r="L78" s="352">
        <v>3000</v>
      </c>
      <c r="M78" s="352"/>
      <c r="N78" s="352"/>
      <c r="O78" s="352"/>
      <c r="P78" s="149"/>
    </row>
    <row r="79" spans="1:16" s="138" customFormat="1" ht="15.75" customHeight="1">
      <c r="A79" s="348">
        <v>91019</v>
      </c>
      <c r="B79" s="349">
        <v>3113</v>
      </c>
      <c r="C79" s="354" t="s">
        <v>511</v>
      </c>
      <c r="D79" s="355"/>
      <c r="E79" s="355"/>
      <c r="F79" s="352">
        <v>0</v>
      </c>
      <c r="G79" s="352">
        <v>750</v>
      </c>
      <c r="H79" s="352">
        <v>0</v>
      </c>
      <c r="I79" s="352">
        <f t="shared" si="2"/>
        <v>0</v>
      </c>
      <c r="J79" s="352">
        <v>750</v>
      </c>
      <c r="K79" s="352"/>
      <c r="L79" s="352">
        <v>5000</v>
      </c>
      <c r="M79" s="356"/>
      <c r="N79" s="356"/>
      <c r="O79" s="356"/>
      <c r="P79" s="174"/>
    </row>
    <row r="80" spans="1:16" s="138" customFormat="1" ht="15.75">
      <c r="A80" s="348">
        <v>81012</v>
      </c>
      <c r="B80" s="349">
        <v>4357</v>
      </c>
      <c r="C80" s="350" t="s">
        <v>308</v>
      </c>
      <c r="D80" s="351"/>
      <c r="E80" s="351"/>
      <c r="F80" s="352">
        <v>5000</v>
      </c>
      <c r="G80" s="352">
        <v>2000</v>
      </c>
      <c r="H80" s="352">
        <v>58.9</v>
      </c>
      <c r="I80" s="352">
        <f t="shared" si="0"/>
        <v>2.945</v>
      </c>
      <c r="J80" s="352">
        <v>60</v>
      </c>
      <c r="K80" s="352">
        <v>10000</v>
      </c>
      <c r="L80" s="352">
        <v>22000</v>
      </c>
      <c r="M80" s="356"/>
      <c r="N80" s="356">
        <v>40000</v>
      </c>
      <c r="O80" s="356">
        <v>20000</v>
      </c>
      <c r="P80" s="215" t="s">
        <v>454</v>
      </c>
    </row>
    <row r="81" spans="1:16" s="138" customFormat="1" ht="15" customHeight="1">
      <c r="A81" s="348">
        <v>71024</v>
      </c>
      <c r="B81" s="349">
        <v>6171</v>
      </c>
      <c r="C81" s="350" t="s">
        <v>309</v>
      </c>
      <c r="D81" s="351"/>
      <c r="E81" s="351"/>
      <c r="F81" s="352">
        <v>5000</v>
      </c>
      <c r="G81" s="352">
        <v>2445</v>
      </c>
      <c r="H81" s="352">
        <v>101.7</v>
      </c>
      <c r="I81" s="352">
        <f t="shared" si="0"/>
        <v>4.159509202453988</v>
      </c>
      <c r="J81" s="352">
        <v>102</v>
      </c>
      <c r="K81" s="352">
        <v>20000</v>
      </c>
      <c r="L81" s="352">
        <v>22000</v>
      </c>
      <c r="M81" s="356"/>
      <c r="N81" s="356"/>
      <c r="O81" s="356"/>
      <c r="P81" s="215" t="s">
        <v>455</v>
      </c>
    </row>
    <row r="82" spans="1:16" s="138" customFormat="1" ht="15" customHeight="1">
      <c r="A82" s="348"/>
      <c r="B82" s="349">
        <v>2219</v>
      </c>
      <c r="C82" s="348" t="s">
        <v>419</v>
      </c>
      <c r="D82" s="352"/>
      <c r="E82" s="352"/>
      <c r="F82" s="352"/>
      <c r="G82" s="352"/>
      <c r="H82" s="352"/>
      <c r="I82" s="352"/>
      <c r="J82" s="352"/>
      <c r="K82" s="352"/>
      <c r="L82" s="357">
        <v>15000</v>
      </c>
      <c r="M82" s="358"/>
      <c r="N82" s="358"/>
      <c r="O82" s="358"/>
      <c r="P82" s="215" t="s">
        <v>456</v>
      </c>
    </row>
    <row r="83" spans="1:16" s="138" customFormat="1" ht="15" customHeight="1">
      <c r="A83" s="348"/>
      <c r="B83" s="349">
        <v>2219</v>
      </c>
      <c r="C83" s="359" t="s">
        <v>428</v>
      </c>
      <c r="D83" s="360"/>
      <c r="E83" s="360"/>
      <c r="F83" s="352"/>
      <c r="G83" s="352"/>
      <c r="H83" s="352"/>
      <c r="I83" s="352"/>
      <c r="J83" s="352"/>
      <c r="K83" s="352"/>
      <c r="L83" s="357">
        <v>7500</v>
      </c>
      <c r="M83" s="358"/>
      <c r="N83" s="358"/>
      <c r="O83" s="358"/>
      <c r="P83" s="215" t="s">
        <v>457</v>
      </c>
    </row>
    <row r="84" spans="1:16" s="138" customFormat="1" ht="15" customHeight="1">
      <c r="A84" s="348">
        <v>81003</v>
      </c>
      <c r="B84" s="349">
        <v>3322</v>
      </c>
      <c r="C84" s="361" t="s">
        <v>420</v>
      </c>
      <c r="D84" s="362"/>
      <c r="E84" s="362"/>
      <c r="F84" s="352"/>
      <c r="G84" s="352"/>
      <c r="H84" s="352"/>
      <c r="I84" s="352"/>
      <c r="J84" s="352"/>
      <c r="K84" s="352"/>
      <c r="L84" s="352">
        <v>2000</v>
      </c>
      <c r="M84" s="356"/>
      <c r="N84" s="356">
        <v>10000</v>
      </c>
      <c r="O84" s="356"/>
      <c r="P84" s="215" t="s">
        <v>458</v>
      </c>
    </row>
    <row r="85" spans="1:16" s="96" customFormat="1" ht="13.5" customHeight="1">
      <c r="A85" s="348"/>
      <c r="B85" s="349">
        <v>3314</v>
      </c>
      <c r="C85" s="348" t="s">
        <v>512</v>
      </c>
      <c r="D85" s="352"/>
      <c r="E85" s="352"/>
      <c r="F85" s="352"/>
      <c r="G85" s="352"/>
      <c r="H85" s="352"/>
      <c r="I85" s="352" t="e">
        <f>(H85/G85)*100</f>
        <v>#DIV/0!</v>
      </c>
      <c r="J85" s="352"/>
      <c r="K85" s="352"/>
      <c r="L85" s="352">
        <v>1320</v>
      </c>
      <c r="M85" s="363"/>
      <c r="N85" s="352"/>
      <c r="O85" s="352"/>
      <c r="P85" s="217" t="s">
        <v>459</v>
      </c>
    </row>
    <row r="86" spans="1:16" s="96" customFormat="1" ht="15">
      <c r="A86" s="348"/>
      <c r="B86" s="349">
        <v>3412</v>
      </c>
      <c r="C86" s="348" t="s">
        <v>513</v>
      </c>
      <c r="D86" s="352"/>
      <c r="E86" s="352"/>
      <c r="F86" s="352"/>
      <c r="G86" s="352"/>
      <c r="H86" s="352"/>
      <c r="I86" s="352" t="e">
        <f>(H86/G86)*100</f>
        <v>#DIV/0!</v>
      </c>
      <c r="J86" s="352"/>
      <c r="K86" s="352"/>
      <c r="L86" s="352">
        <v>3000</v>
      </c>
      <c r="M86" s="352"/>
      <c r="N86" s="352">
        <v>2000</v>
      </c>
      <c r="O86" s="352">
        <v>2000</v>
      </c>
      <c r="P86" s="218" t="s">
        <v>460</v>
      </c>
    </row>
    <row r="87" spans="1:16" s="96" customFormat="1" ht="15">
      <c r="A87" s="348">
        <v>81023</v>
      </c>
      <c r="B87" s="349">
        <v>2143</v>
      </c>
      <c r="C87" s="350" t="s">
        <v>503</v>
      </c>
      <c r="D87" s="351"/>
      <c r="E87" s="351"/>
      <c r="F87" s="352"/>
      <c r="G87" s="352"/>
      <c r="H87" s="352"/>
      <c r="I87" s="352"/>
      <c r="J87" s="352"/>
      <c r="K87" s="352"/>
      <c r="L87" s="352">
        <v>10000</v>
      </c>
      <c r="M87" s="352"/>
      <c r="N87" s="352"/>
      <c r="O87" s="352"/>
      <c r="P87" s="310" t="s">
        <v>491</v>
      </c>
    </row>
    <row r="88" spans="1:16" s="96" customFormat="1" ht="15">
      <c r="A88" s="348">
        <v>71019</v>
      </c>
      <c r="B88" s="349">
        <v>3322</v>
      </c>
      <c r="C88" s="350" t="s">
        <v>293</v>
      </c>
      <c r="D88" s="351"/>
      <c r="E88" s="351"/>
      <c r="F88" s="352"/>
      <c r="G88" s="352"/>
      <c r="H88" s="352"/>
      <c r="I88" s="352"/>
      <c r="J88" s="352"/>
      <c r="K88" s="352"/>
      <c r="L88" s="352">
        <v>25000</v>
      </c>
      <c r="M88" s="352"/>
      <c r="N88" s="352"/>
      <c r="O88" s="352"/>
      <c r="P88" s="310"/>
    </row>
    <row r="89" spans="1:16" s="96" customFormat="1" ht="15">
      <c r="A89" s="348"/>
      <c r="B89" s="349">
        <v>2212</v>
      </c>
      <c r="C89" s="361" t="s">
        <v>501</v>
      </c>
      <c r="D89" s="362"/>
      <c r="E89" s="362"/>
      <c r="F89" s="352"/>
      <c r="G89" s="352"/>
      <c r="H89" s="352"/>
      <c r="I89" s="352"/>
      <c r="J89" s="352">
        <v>90</v>
      </c>
      <c r="K89" s="352"/>
      <c r="L89" s="352">
        <v>2000</v>
      </c>
      <c r="M89" s="352"/>
      <c r="N89" s="352">
        <v>30000</v>
      </c>
      <c r="O89" s="352">
        <v>30000</v>
      </c>
      <c r="P89" s="310"/>
    </row>
    <row r="90" spans="1:16" s="96" customFormat="1" ht="15">
      <c r="A90" s="348"/>
      <c r="B90" s="349">
        <v>3322</v>
      </c>
      <c r="C90" s="361" t="s">
        <v>478</v>
      </c>
      <c r="D90" s="362"/>
      <c r="E90" s="362"/>
      <c r="F90" s="352"/>
      <c r="G90" s="352"/>
      <c r="H90" s="352"/>
      <c r="I90" s="352"/>
      <c r="J90" s="352"/>
      <c r="K90" s="352"/>
      <c r="L90" s="352">
        <v>5000</v>
      </c>
      <c r="M90" s="352"/>
      <c r="N90" s="352"/>
      <c r="O90" s="352"/>
      <c r="P90" s="310"/>
    </row>
    <row r="91" spans="1:16" s="138" customFormat="1" ht="24" customHeight="1">
      <c r="A91" s="348"/>
      <c r="B91" s="349"/>
      <c r="C91" s="364" t="s">
        <v>447</v>
      </c>
      <c r="D91" s="365">
        <f>SUM(D62:D90)</f>
        <v>0</v>
      </c>
      <c r="E91" s="365">
        <f>SUM(E62:E90)</f>
        <v>0</v>
      </c>
      <c r="F91" s="365">
        <f aca="true" t="shared" si="3" ref="F91:O91">SUM(F62:F90)</f>
        <v>33380</v>
      </c>
      <c r="G91" s="365">
        <f t="shared" si="3"/>
        <v>25862</v>
      </c>
      <c r="H91" s="365">
        <f t="shared" si="3"/>
        <v>4655.2</v>
      </c>
      <c r="I91" s="365" t="e">
        <f t="shared" si="3"/>
        <v>#DIV/0!</v>
      </c>
      <c r="J91" s="365">
        <f t="shared" si="3"/>
        <v>12504</v>
      </c>
      <c r="K91" s="365">
        <f t="shared" si="3"/>
        <v>42500</v>
      </c>
      <c r="L91" s="365">
        <f t="shared" si="3"/>
        <v>250520</v>
      </c>
      <c r="M91" s="365">
        <f t="shared" si="3"/>
        <v>0</v>
      </c>
      <c r="N91" s="365">
        <f t="shared" si="3"/>
        <v>187000</v>
      </c>
      <c r="O91" s="365">
        <f t="shared" si="3"/>
        <v>102000</v>
      </c>
      <c r="P91" s="30"/>
    </row>
    <row r="92" spans="1:16" s="138" customFormat="1" ht="7.5" customHeight="1">
      <c r="A92" s="114"/>
      <c r="B92" s="113"/>
      <c r="C92" s="134"/>
      <c r="D92" s="134"/>
      <c r="E92" s="13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112"/>
    </row>
    <row r="93" spans="1:16" s="95" customFormat="1" ht="15.75" customHeight="1">
      <c r="A93" s="151"/>
      <c r="B93" s="152"/>
      <c r="C93" s="153" t="s">
        <v>448</v>
      </c>
      <c r="D93" s="247">
        <v>44774.9</v>
      </c>
      <c r="E93" s="247">
        <v>103596.7</v>
      </c>
      <c r="F93" s="247">
        <f>SUM(F51,F91)</f>
        <v>152379</v>
      </c>
      <c r="G93" s="247">
        <f>SUM(G51,G91)</f>
        <v>184400</v>
      </c>
      <c r="H93" s="247">
        <f>SUM(H51,H91)</f>
        <v>92932.00000000001</v>
      </c>
      <c r="I93" s="247" t="e">
        <f>SUM(I51,I91)</f>
        <v>#DIV/0!</v>
      </c>
      <c r="J93" s="247">
        <f>SUM(J51,J91)</f>
        <v>167771</v>
      </c>
      <c r="K93" s="247">
        <f>SUM(K51,K91)</f>
        <v>64302</v>
      </c>
      <c r="L93" s="247">
        <f>SUM(L51)</f>
        <v>79500</v>
      </c>
      <c r="M93" s="247">
        <f>SUM(M51)</f>
        <v>0</v>
      </c>
      <c r="N93" s="247">
        <f>SUM(N51)</f>
        <v>0</v>
      </c>
      <c r="O93" s="247">
        <f>SUM(O51)</f>
        <v>0</v>
      </c>
      <c r="P93" s="154"/>
    </row>
    <row r="94" spans="1:16" s="95" customFormat="1" ht="3.75" customHeight="1">
      <c r="A94" s="151"/>
      <c r="B94" s="152"/>
      <c r="C94" s="153" t="s">
        <v>310</v>
      </c>
      <c r="D94" s="153"/>
      <c r="E94" s="153"/>
      <c r="F94" s="247" t="e">
        <f>SUM(#REF!,#REF!)</f>
        <v>#REF!</v>
      </c>
      <c r="G94" s="247" t="e">
        <f>SUM(#REF!,#REF!)</f>
        <v>#REF!</v>
      </c>
      <c r="H94" s="247"/>
      <c r="I94" s="244" t="e">
        <f>(#REF!/G94)*100</f>
        <v>#REF!</v>
      </c>
      <c r="J94" s="244"/>
      <c r="K94" s="247" t="e">
        <f>SUM(#REF!,#REF!)</f>
        <v>#REF!</v>
      </c>
      <c r="L94" s="247"/>
      <c r="M94" s="247"/>
      <c r="N94" s="247"/>
      <c r="O94" s="247"/>
      <c r="P94" s="154"/>
    </row>
    <row r="95" spans="1:16" s="138" customFormat="1" ht="7.5" customHeight="1">
      <c r="A95" s="114"/>
      <c r="B95" s="113"/>
      <c r="C95" s="134"/>
      <c r="D95" s="134"/>
      <c r="E95" s="13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112"/>
    </row>
    <row r="96" spans="1:16" s="138" customFormat="1" ht="12.75" customHeight="1" hidden="1">
      <c r="A96" s="142"/>
      <c r="B96" s="143"/>
      <c r="C96" s="144"/>
      <c r="D96" s="144"/>
      <c r="E96" s="144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145"/>
    </row>
    <row r="97" spans="1:16" s="138" customFormat="1" ht="15" customHeight="1">
      <c r="A97" s="127"/>
      <c r="B97" s="157"/>
      <c r="C97" s="127"/>
      <c r="D97" s="127"/>
      <c r="E97" s="127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9"/>
    </row>
    <row r="98" spans="1:16" s="96" customFormat="1" ht="15" customHeight="1" hidden="1">
      <c r="A98" s="125"/>
      <c r="B98" s="126"/>
      <c r="C98" s="127"/>
      <c r="D98" s="127"/>
      <c r="E98" s="127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9"/>
    </row>
    <row r="99" spans="1:16" ht="15">
      <c r="A99" s="194"/>
      <c r="B99" s="194"/>
      <c r="C99" s="194"/>
      <c r="D99" s="194"/>
      <c r="E99" s="194"/>
      <c r="F99" s="194"/>
      <c r="G99" s="194"/>
      <c r="H99" s="194"/>
      <c r="K99" s="194"/>
      <c r="L99" s="194"/>
      <c r="M99" s="194"/>
      <c r="N99" s="194"/>
      <c r="O99" s="194"/>
      <c r="P99" s="194"/>
    </row>
    <row r="100" spans="1:16" ht="15" hidden="1">
      <c r="A100" s="194"/>
      <c r="B100" s="194"/>
      <c r="C100" s="194"/>
      <c r="D100" s="194"/>
      <c r="E100" s="194"/>
      <c r="F100" s="194"/>
      <c r="G100" s="194"/>
      <c r="H100" s="194"/>
      <c r="K100" s="194"/>
      <c r="L100" s="194"/>
      <c r="M100" s="194"/>
      <c r="N100" s="194"/>
      <c r="O100" s="194"/>
      <c r="P100" s="194"/>
    </row>
    <row r="101" spans="1:16" ht="15" hidden="1">
      <c r="A101" s="194"/>
      <c r="B101" s="194"/>
      <c r="C101" s="194" t="s">
        <v>401</v>
      </c>
      <c r="D101" s="194"/>
      <c r="E101" s="194"/>
      <c r="F101" s="195"/>
      <c r="G101" s="195"/>
      <c r="H101" s="195"/>
      <c r="I101" s="196" t="e">
        <f>SUM(#REF!,#REF!,#REF!,#REF!,#REF!,#REF!,#REF!)+3142+40000</f>
        <v>#REF!</v>
      </c>
      <c r="J101" s="196"/>
      <c r="K101" s="195"/>
      <c r="L101" s="195"/>
      <c r="M101" s="195"/>
      <c r="N101" s="195"/>
      <c r="O101" s="195"/>
      <c r="P101" s="195"/>
    </row>
    <row r="102" spans="1:16" ht="15" hidden="1">
      <c r="A102" s="194"/>
      <c r="B102" s="194"/>
      <c r="C102" s="194"/>
      <c r="D102" s="194"/>
      <c r="E102" s="194"/>
      <c r="F102" s="197" t="e">
        <f>SUM(#REF!,#REF!,F93,#REF!,#REF!)</f>
        <v>#REF!</v>
      </c>
      <c r="G102" s="197" t="e">
        <f>SUM(#REF!,#REF!,G93,#REF!,#REF!)</f>
        <v>#REF!</v>
      </c>
      <c r="H102" s="197"/>
      <c r="K102" s="197" t="e">
        <f>SUM(#REF!,#REF!,K93,#REF!,#REF!)</f>
        <v>#REF!</v>
      </c>
      <c r="L102" s="197"/>
      <c r="M102" s="197"/>
      <c r="N102" s="197"/>
      <c r="O102" s="197"/>
      <c r="P102" s="197"/>
    </row>
    <row r="103" spans="1:16" ht="15" hidden="1">
      <c r="A103" s="194"/>
      <c r="B103" s="194"/>
      <c r="C103" s="194"/>
      <c r="D103" s="194"/>
      <c r="E103" s="194"/>
      <c r="F103" s="194"/>
      <c r="G103" s="194"/>
      <c r="H103" s="194"/>
      <c r="K103" s="194"/>
      <c r="L103" s="194"/>
      <c r="M103" s="194"/>
      <c r="N103" s="194"/>
      <c r="O103" s="194"/>
      <c r="P103" s="194"/>
    </row>
    <row r="104" spans="1:16" ht="15" hidden="1">
      <c r="A104" s="194"/>
      <c r="B104" s="194"/>
      <c r="C104" s="194"/>
      <c r="D104" s="194"/>
      <c r="E104" s="194"/>
      <c r="F104" s="194"/>
      <c r="G104" s="194"/>
      <c r="H104" s="194"/>
      <c r="K104" s="194"/>
      <c r="L104" s="194"/>
      <c r="M104" s="194"/>
      <c r="N104" s="194"/>
      <c r="O104" s="194"/>
      <c r="P104" s="194"/>
    </row>
    <row r="105" spans="1:16" ht="15">
      <c r="A105" s="194"/>
      <c r="B105" s="194"/>
      <c r="C105" s="194"/>
      <c r="D105" s="194"/>
      <c r="E105" s="194"/>
      <c r="F105" s="194"/>
      <c r="G105" s="194"/>
      <c r="H105" s="194"/>
      <c r="K105" s="194"/>
      <c r="L105" s="194"/>
      <c r="M105" s="194"/>
      <c r="N105" s="194"/>
      <c r="O105" s="194"/>
      <c r="P105" s="194"/>
    </row>
    <row r="106" spans="1:16" ht="15">
      <c r="A106" s="194"/>
      <c r="B106" s="194"/>
      <c r="C106" s="194"/>
      <c r="D106" s="194"/>
      <c r="E106" s="194"/>
      <c r="F106" s="194"/>
      <c r="G106" s="194"/>
      <c r="H106" s="194"/>
      <c r="K106" s="194"/>
      <c r="L106" s="194"/>
      <c r="M106" s="194"/>
      <c r="N106" s="194"/>
      <c r="O106" s="194"/>
      <c r="P106" s="194"/>
    </row>
    <row r="107" spans="1:16" ht="15" hidden="1">
      <c r="A107" s="194"/>
      <c r="B107" s="194"/>
      <c r="C107" s="194" t="s">
        <v>469</v>
      </c>
      <c r="D107" s="194"/>
      <c r="E107" s="194"/>
      <c r="F107" s="197" t="e">
        <f>+#REF!-F108</f>
        <v>#REF!</v>
      </c>
      <c r="G107" s="197" t="e">
        <f>+#REF!-G108</f>
        <v>#REF!</v>
      </c>
      <c r="H107" s="197" t="e">
        <f>+#REF!-H108</f>
        <v>#REF!</v>
      </c>
      <c r="I107" s="197" t="e">
        <f>+#REF!-I108</f>
        <v>#REF!</v>
      </c>
      <c r="J107" s="197" t="e">
        <f>+#REF!-J108</f>
        <v>#REF!</v>
      </c>
      <c r="K107" s="197" t="e">
        <f>+#REF!-K108</f>
        <v>#REF!</v>
      </c>
      <c r="L107" s="197" t="e">
        <f>+#REF!-L108</f>
        <v>#REF!</v>
      </c>
      <c r="M107" s="197" t="e">
        <f>+#REF!-M108</f>
        <v>#REF!</v>
      </c>
      <c r="N107" s="197" t="e">
        <f>+#REF!-N108</f>
        <v>#REF!</v>
      </c>
      <c r="O107" s="197" t="e">
        <f>+#REF!-O108</f>
        <v>#REF!</v>
      </c>
      <c r="P107" s="194"/>
    </row>
    <row r="108" spans="1:16" ht="15" hidden="1">
      <c r="A108" s="194"/>
      <c r="B108" s="194"/>
      <c r="C108" s="194" t="s">
        <v>401</v>
      </c>
      <c r="D108" s="194"/>
      <c r="E108" s="194"/>
      <c r="F108" s="197" t="e">
        <f>SUM(#REF!,#REF!,#REF!,F93,#REF!,#REF!,#REF!)</f>
        <v>#REF!</v>
      </c>
      <c r="G108" s="197" t="e">
        <f>SUM(#REF!,#REF!,#REF!,G93,#REF!,#REF!,#REF!)</f>
        <v>#REF!</v>
      </c>
      <c r="H108" s="197" t="e">
        <f>SUM(#REF!,#REF!,#REF!,H93,#REF!,#REF!,#REF!)</f>
        <v>#REF!</v>
      </c>
      <c r="I108" s="197" t="e">
        <f>SUM(#REF!,#REF!,#REF!,I93,#REF!,#REF!,#REF!)</f>
        <v>#REF!</v>
      </c>
      <c r="J108" s="197" t="e">
        <f>SUM(#REF!,#REF!,#REF!,J93,#REF!,#REF!,#REF!)</f>
        <v>#REF!</v>
      </c>
      <c r="K108" s="197" t="e">
        <f>SUM(#REF!,#REF!,#REF!,K93,#REF!,#REF!,#REF!)</f>
        <v>#REF!</v>
      </c>
      <c r="L108" s="197" t="e">
        <f>SUM(#REF!,#REF!,#REF!,L93,#REF!,#REF!,#REF!)</f>
        <v>#REF!</v>
      </c>
      <c r="M108" s="197" t="e">
        <f>SUM(#REF!,#REF!,#REF!,M93,#REF!,#REF!,#REF!)</f>
        <v>#REF!</v>
      </c>
      <c r="N108" s="197" t="e">
        <f>SUM(#REF!,#REF!,#REF!,N93,#REF!,#REF!,#REF!)</f>
        <v>#REF!</v>
      </c>
      <c r="O108" s="197" t="e">
        <f>SUM(#REF!,#REF!,#REF!,O93,#REF!,#REF!,#REF!)</f>
        <v>#REF!</v>
      </c>
      <c r="P108" s="194"/>
    </row>
    <row r="109" spans="1:16" ht="15">
      <c r="A109" s="194"/>
      <c r="B109" s="194"/>
      <c r="C109" s="194"/>
      <c r="D109" s="194"/>
      <c r="E109" s="194"/>
      <c r="F109" s="194"/>
      <c r="G109" s="194"/>
      <c r="H109" s="194"/>
      <c r="K109" s="194"/>
      <c r="L109" s="194"/>
      <c r="M109" s="194"/>
      <c r="N109" s="194"/>
      <c r="O109" s="194"/>
      <c r="P109" s="194"/>
    </row>
    <row r="110" spans="1:16" ht="15">
      <c r="A110" s="194"/>
      <c r="B110" s="194"/>
      <c r="C110" s="194"/>
      <c r="D110" s="194"/>
      <c r="E110" s="194"/>
      <c r="F110" s="194"/>
      <c r="G110" s="194"/>
      <c r="H110" s="194"/>
      <c r="K110" s="194"/>
      <c r="L110" s="194"/>
      <c r="M110" s="194"/>
      <c r="N110" s="194"/>
      <c r="O110" s="194"/>
      <c r="P110" s="194"/>
    </row>
    <row r="111" spans="1:16" ht="15">
      <c r="A111" s="194"/>
      <c r="B111" s="194"/>
      <c r="C111" s="194"/>
      <c r="D111" s="194"/>
      <c r="E111" s="194"/>
      <c r="F111" s="194"/>
      <c r="G111" s="194"/>
      <c r="H111" s="194"/>
      <c r="K111" s="194"/>
      <c r="L111" s="194"/>
      <c r="M111" s="194"/>
      <c r="N111" s="194"/>
      <c r="O111" s="194"/>
      <c r="P111" s="194"/>
    </row>
    <row r="112" spans="1:16" ht="15">
      <c r="A112" s="194"/>
      <c r="B112" s="194"/>
      <c r="C112" s="194"/>
      <c r="D112" s="194"/>
      <c r="E112" s="194"/>
      <c r="F112" s="194"/>
      <c r="G112" s="194"/>
      <c r="H112" s="194"/>
      <c r="K112" s="194"/>
      <c r="L112" s="194"/>
      <c r="M112" s="194"/>
      <c r="N112" s="194"/>
      <c r="O112" s="194"/>
      <c r="P112" s="194"/>
    </row>
    <row r="113" spans="1:16" ht="15">
      <c r="A113" s="194"/>
      <c r="B113" s="194"/>
      <c r="C113" s="194"/>
      <c r="D113" s="194"/>
      <c r="E113" s="194"/>
      <c r="F113" s="194"/>
      <c r="G113" s="194"/>
      <c r="H113" s="194"/>
      <c r="K113" s="194"/>
      <c r="L113" s="194"/>
      <c r="M113" s="194"/>
      <c r="N113" s="194"/>
      <c r="O113" s="194"/>
      <c r="P113" s="194"/>
    </row>
    <row r="114" spans="1:16" ht="15">
      <c r="A114" s="194"/>
      <c r="B114" s="194"/>
      <c r="C114" s="194"/>
      <c r="D114" s="194"/>
      <c r="E114" s="194"/>
      <c r="F114" s="194"/>
      <c r="G114" s="194"/>
      <c r="H114" s="194"/>
      <c r="K114" s="194"/>
      <c r="L114" s="194"/>
      <c r="M114" s="194"/>
      <c r="N114" s="194"/>
      <c r="O114" s="194"/>
      <c r="P114" s="194"/>
    </row>
    <row r="115" spans="1:16" ht="15">
      <c r="A115" s="194"/>
      <c r="B115" s="194"/>
      <c r="C115" s="194"/>
      <c r="D115" s="194"/>
      <c r="E115" s="194"/>
      <c r="F115" s="194"/>
      <c r="G115" s="194"/>
      <c r="H115" s="194"/>
      <c r="K115" s="194"/>
      <c r="L115" s="194"/>
      <c r="M115" s="194"/>
      <c r="N115" s="194"/>
      <c r="O115" s="194"/>
      <c r="P115" s="194"/>
    </row>
    <row r="116" spans="1:16" ht="15">
      <c r="A116" s="194"/>
      <c r="B116" s="194"/>
      <c r="C116" s="194"/>
      <c r="D116" s="194"/>
      <c r="E116" s="194"/>
      <c r="F116" s="194"/>
      <c r="G116" s="194"/>
      <c r="H116" s="194"/>
      <c r="K116" s="194"/>
      <c r="L116" s="194"/>
      <c r="M116" s="194"/>
      <c r="N116" s="194"/>
      <c r="O116" s="194"/>
      <c r="P116" s="194"/>
    </row>
    <row r="117" spans="1:16" ht="15">
      <c r="A117" s="194"/>
      <c r="B117" s="194"/>
      <c r="C117" s="194"/>
      <c r="D117" s="194"/>
      <c r="E117" s="194"/>
      <c r="F117" s="194"/>
      <c r="G117" s="194"/>
      <c r="H117" s="194"/>
      <c r="K117" s="194"/>
      <c r="L117" s="194"/>
      <c r="M117" s="194"/>
      <c r="N117" s="194"/>
      <c r="O117" s="194"/>
      <c r="P117" s="194"/>
    </row>
    <row r="118" spans="1:16" ht="15">
      <c r="A118" s="194"/>
      <c r="B118" s="194"/>
      <c r="C118" s="194"/>
      <c r="D118" s="194"/>
      <c r="E118" s="194"/>
      <c r="F118" s="194"/>
      <c r="G118" s="194"/>
      <c r="H118" s="194"/>
      <c r="K118" s="194"/>
      <c r="L118" s="194"/>
      <c r="M118" s="194"/>
      <c r="N118" s="194"/>
      <c r="O118" s="194"/>
      <c r="P118" s="194"/>
    </row>
    <row r="119" spans="1:16" ht="15">
      <c r="A119" s="194"/>
      <c r="B119" s="194"/>
      <c r="C119" s="194"/>
      <c r="D119" s="194"/>
      <c r="E119" s="194"/>
      <c r="F119" s="194"/>
      <c r="G119" s="194"/>
      <c r="H119" s="194"/>
      <c r="K119" s="194"/>
      <c r="L119" s="194"/>
      <c r="M119" s="194"/>
      <c r="N119" s="194"/>
      <c r="O119" s="194"/>
      <c r="P119" s="194"/>
    </row>
    <row r="120" spans="1:16" ht="15">
      <c r="A120" s="194"/>
      <c r="B120" s="194"/>
      <c r="C120" s="194"/>
      <c r="D120" s="194"/>
      <c r="E120" s="194"/>
      <c r="F120" s="194"/>
      <c r="G120" s="194"/>
      <c r="H120" s="194"/>
      <c r="K120" s="194"/>
      <c r="L120" s="194"/>
      <c r="M120" s="194"/>
      <c r="N120" s="194"/>
      <c r="O120" s="194"/>
      <c r="P120" s="194"/>
    </row>
    <row r="121" spans="1:16" ht="15">
      <c r="A121" s="194"/>
      <c r="B121" s="194"/>
      <c r="C121" s="194"/>
      <c r="D121" s="194"/>
      <c r="E121" s="194"/>
      <c r="F121" s="194"/>
      <c r="G121" s="194"/>
      <c r="H121" s="194"/>
      <c r="K121" s="194"/>
      <c r="L121" s="194"/>
      <c r="M121" s="194"/>
      <c r="N121" s="194"/>
      <c r="O121" s="194"/>
      <c r="P121" s="194"/>
    </row>
  </sheetData>
  <mergeCells count="1">
    <mergeCell ref="A3:M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2009-11-30T10:00:43Z</cp:lastPrinted>
  <dcterms:created xsi:type="dcterms:W3CDTF">2009-07-13T16:30:36Z</dcterms:created>
  <dcterms:modified xsi:type="dcterms:W3CDTF">2009-11-30T10:47:40Z</dcterms:modified>
  <cp:category/>
  <cp:version/>
  <cp:contentType/>
  <cp:contentStatus/>
</cp:coreProperties>
</file>