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Město_příjmy " sheetId="1" r:id="rId1"/>
    <sheet name="Město_výdaje " sheetId="2" r:id="rId2"/>
  </sheets>
  <definedNames/>
  <calcPr fullCalcOnLoad="1"/>
</workbook>
</file>

<file path=xl/sharedStrings.xml><?xml version="1.0" encoding="utf-8"?>
<sst xmlns="http://schemas.openxmlformats.org/spreadsheetml/2006/main" count="1262" uniqueCount="491">
  <si>
    <t xml:space="preserve">Město Břeclav </t>
  </si>
  <si>
    <t>tis. Kč</t>
  </si>
  <si>
    <t>ORJ</t>
  </si>
  <si>
    <t>Paragraf</t>
  </si>
  <si>
    <t>Text</t>
  </si>
  <si>
    <t>Rozpočet</t>
  </si>
  <si>
    <t>Skutečnost</t>
  </si>
  <si>
    <t xml:space="preserve">% </t>
  </si>
  <si>
    <t>schválený</t>
  </si>
  <si>
    <t>upravený</t>
  </si>
  <si>
    <t>1-2/2010</t>
  </si>
  <si>
    <t>3/2010</t>
  </si>
  <si>
    <t>1-3/2010</t>
  </si>
  <si>
    <t>4/2010</t>
  </si>
  <si>
    <t>1-4/2010</t>
  </si>
  <si>
    <t>5/2010</t>
  </si>
  <si>
    <t>1-5/2010</t>
  </si>
  <si>
    <t>6/2010</t>
  </si>
  <si>
    <t>1-6/2010</t>
  </si>
  <si>
    <t>7/2010</t>
  </si>
  <si>
    <t>1-7/2010</t>
  </si>
  <si>
    <t>8/2010</t>
  </si>
  <si>
    <t>1-8/2010</t>
  </si>
  <si>
    <t>čerpání</t>
  </si>
  <si>
    <t>ODBOR ŠKOLSTVÍ, KULTURY, MLÁDEŽE A SPORTU</t>
  </si>
  <si>
    <t xml:space="preserve">Cestovní ruch - TIC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</si>
  <si>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</si>
  <si>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</si>
  <si>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</si>
  <si>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</si>
  <si>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</si>
  <si>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</si>
  <si>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>Činnosti knihovnické              z ÚSC</t>
  </si>
  <si>
    <t>Městské muzeum - Knížecí dům na pomezí</t>
  </si>
  <si>
    <t>Městské muzeum - rek. Zámečku Pohansko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</si>
  <si>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</si>
  <si>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</si>
  <si>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</si>
  <si>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</si>
  <si>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Ostatní záležitosti sdělovacích prostředků - RADNICE</t>
  </si>
  <si>
    <t>Zájmová činnost v kultuře (kulturní domy)</t>
  </si>
  <si>
    <t>Záležitosti kultury (Svatováclavské slavnosti, Moravský den, ples aj.)</t>
  </si>
  <si>
    <t xml:space="preserve">Sportov.zaříz. v maj. obce - dotace krytý bazén, MSK, zázemí Olympia, </t>
  </si>
  <si>
    <t xml:space="preserve">Zájmová činnost, klub.zařízení, rekreace, sport  - dospělí </t>
  </si>
  <si>
    <t>Mezinárodní spolupráce (jinde nezařazená)</t>
  </si>
  <si>
    <t>Ostatní neinvestič. výdaje j. n. - ostatní činnosti j. n.</t>
  </si>
  <si>
    <t>VÝDAJE ORJ 10  CELKEM</t>
  </si>
  <si>
    <t xml:space="preserve">ODBOR DOTACÍ A ROZVOJE </t>
  </si>
  <si>
    <t xml:space="preserve">Cestovní ruch </t>
  </si>
  <si>
    <t>Ostat. záležřtosti v silniční dopravě (smlouva-žádost o dot.na ek. autobusy)</t>
  </si>
  <si>
    <t>Silnice - nákup služeb - projekt přechody</t>
  </si>
  <si>
    <t>Pitná voda</t>
  </si>
  <si>
    <t>Odvádění a čištění odpadních vod   (havárie)</t>
  </si>
  <si>
    <t>Zachování a obnova kulturních památek</t>
  </si>
  <si>
    <t>Územní plánování - studie</t>
  </si>
  <si>
    <t>Územní rozvoj - poradenské, konzultač. a práv. služby (sml. EURO ONE)</t>
  </si>
  <si>
    <t xml:space="preserve">Projekt prevence kriminality </t>
  </si>
  <si>
    <r>
      <t xml:space="preserve">Projekt prevence kriminality                                                         - ze SR </t>
    </r>
    <r>
      <rPr>
        <b/>
        <sz val="12"/>
        <rFont val="Arial"/>
        <family val="2"/>
      </rPr>
      <t xml:space="preserve">      X</t>
    </r>
  </si>
  <si>
    <t xml:space="preserve">Mezinárodní spolupráce </t>
  </si>
  <si>
    <t>Projektová a manažerská příprava na vybrané investiční akce</t>
  </si>
  <si>
    <t>Manažerská projektová příprava</t>
  </si>
  <si>
    <t>Mezisoučet</t>
  </si>
  <si>
    <t xml:space="preserve">Propagace LVA   </t>
  </si>
  <si>
    <t xml:space="preserve">Miniatury LVA  </t>
  </si>
  <si>
    <t>Komunikace Poštorná - Pod zahradama</t>
  </si>
  <si>
    <t xml:space="preserve">Komunikace (VAK -  Projekt Břeclavsko) </t>
  </si>
  <si>
    <t xml:space="preserve">Komunikace Slovácká </t>
  </si>
  <si>
    <t>Komunikace  Na zahradách</t>
  </si>
  <si>
    <t xml:space="preserve">Komunikace Česká, parkoviště Sovadinova, Gen. Šimka                      </t>
  </si>
  <si>
    <t>Rek. vozovky Pastevní a U Zbrodku</t>
  </si>
  <si>
    <t>Komunikace na Pohansko - investiční transfer Lesům ČR</t>
  </si>
  <si>
    <t>Valtická-úprava veřej. prostr., parkoviště IPRM</t>
  </si>
  <si>
    <t>Cyklostezka Na Řádku</t>
  </si>
  <si>
    <t>Břeclav bez bariér-lávka Komenského</t>
  </si>
  <si>
    <t xml:space="preserve">Pěší zóna  - centrum J.Palacha </t>
  </si>
  <si>
    <t xml:space="preserve">Rekonstrukce nám. Ch. N. Ves - ul. Lednická-Tyršův sad (vl.podíl projektu)                            </t>
  </si>
  <si>
    <t xml:space="preserve">Rekonstrukce nám. St. Břeclav (u kapličky)                                                         </t>
  </si>
  <si>
    <t>Centrum - chodníky + chodník za Kinem Koruna</t>
  </si>
  <si>
    <t>Přístup k zámku od náměstí - studie</t>
  </si>
  <si>
    <t>Integr. přestupní terminál IDS JMK-studie</t>
  </si>
  <si>
    <t>MŠ-zateplení PD</t>
  </si>
  <si>
    <t>MŠ Slovácká-PD</t>
  </si>
  <si>
    <t>MŠ Osvobození-PD</t>
  </si>
  <si>
    <t>ZŠ Slovácká-PD stav. úpr., zateplení</t>
  </si>
  <si>
    <t>ZŠ Komenského, objekt šaten (PD)</t>
  </si>
  <si>
    <t>ZŠ Slovácká- vnitř. rek.</t>
  </si>
  <si>
    <t>ZŠ Kupkova-stav. Úpravy na provoz MŠ</t>
  </si>
  <si>
    <t>ZŠ-zateplení PD</t>
  </si>
  <si>
    <t>Knihovna Břeclav-okna, fasáda</t>
  </si>
  <si>
    <t>Kaple sv. Huberta</t>
  </si>
  <si>
    <t>Zámek Břeclav - revitalizace nemovité kult. památky</t>
  </si>
  <si>
    <t>Obnova kaple a prostr. židovského hřbitova - PD</t>
  </si>
  <si>
    <t>Památník J. A. Komenského</t>
  </si>
  <si>
    <t>Osvětlení památek a mostů</t>
  </si>
  <si>
    <t>MSK-zázemí, půdní vestavba</t>
  </si>
  <si>
    <t>Celková kolaudace zim. stadion BV</t>
  </si>
  <si>
    <t>Revitalizace sportovního areálu ZŠ Slovácká - z ÚSC</t>
  </si>
  <si>
    <r>
      <t xml:space="preserve">Revitalizace sportovního areálu ZŠ Slovácká - EU, SR                     </t>
    </r>
    <r>
      <rPr>
        <b/>
        <sz val="12"/>
        <rFont val="Arial"/>
        <family val="2"/>
      </rPr>
      <t xml:space="preserve">  X </t>
    </r>
  </si>
  <si>
    <t xml:space="preserve">Zimní stadion-přestavba na hotel </t>
  </si>
  <si>
    <t>Dětská hřiště Na Valtické</t>
  </si>
  <si>
    <t>Startovací byty Ch. N. Ves</t>
  </si>
  <si>
    <t>Revitalizace bytů Nár. hrdinů 47</t>
  </si>
  <si>
    <t>Kotelny-rekonstrukce střech</t>
  </si>
  <si>
    <t>Ch. N. Ves-SNP obnova VO</t>
  </si>
  <si>
    <t>Obřadní síň Poštorná</t>
  </si>
  <si>
    <t>Obřadní síň Stará Břeclav</t>
  </si>
  <si>
    <t>Obřadní síň Břeclav</t>
  </si>
  <si>
    <t>Hřbitovy (Ch.N.Ves, Poštorná) - chodníky PD</t>
  </si>
  <si>
    <t xml:space="preserve">Krytý bazén - havarie vany  </t>
  </si>
  <si>
    <t>Zámecký park</t>
  </si>
  <si>
    <t>Domov seniorů  Břeclav - balkony, okna, zateplení</t>
  </si>
  <si>
    <t>Stavební úpravy MÚ Břeclav I. etapa</t>
  </si>
  <si>
    <t>Investice celkem</t>
  </si>
  <si>
    <t xml:space="preserve">          z toho dotace se SR</t>
  </si>
  <si>
    <t>VÝDAJE ORJ 20 CELKEM</t>
  </si>
  <si>
    <t>ODBOR VNITŘNÍCH VĚCÍ</t>
  </si>
  <si>
    <t>Silnice</t>
  </si>
  <si>
    <t>Záležitosti pozemních komunikací</t>
  </si>
  <si>
    <t>Záležitosti v silniční dopravě</t>
  </si>
  <si>
    <t>Místní rozhlas</t>
  </si>
  <si>
    <t>Záležitosti sdělovacích prostředků   (přesun do ORJ 010 - OŠKMS)</t>
  </si>
  <si>
    <t>Využití volného času dětí a mládeže - dětské hřiště</t>
  </si>
  <si>
    <t>Veřejné osvětlení</t>
  </si>
  <si>
    <t>Pohřebnictví</t>
  </si>
  <si>
    <t>Sběr a svoz komunálního odpadu</t>
  </si>
  <si>
    <t>Péče o vzhled obcí a veřejnou zeleň</t>
  </si>
  <si>
    <t>Požární ochrana</t>
  </si>
  <si>
    <t>Místní zastupitelské orgány</t>
  </si>
  <si>
    <t>30+31</t>
  </si>
  <si>
    <t>Činnosti místní správy</t>
  </si>
  <si>
    <t>VÝDAJE ORJ 30 + 31  CELKEM</t>
  </si>
  <si>
    <t>ODBOR SOCIÁLNÍCH VĚCÍ</t>
  </si>
  <si>
    <t xml:space="preserve">Prevence před drogami              </t>
  </si>
  <si>
    <t>Ostatní činnost ve zdravotnictví</t>
  </si>
  <si>
    <t>Příspěvek na živobytí</t>
  </si>
  <si>
    <t>Doplatek na bydlení</t>
  </si>
  <si>
    <t>Mimořádná okamžitá pomoc</t>
  </si>
  <si>
    <t>Mimoř. okamžitá pomoc os. ohrož. sociálním vyloučením</t>
  </si>
  <si>
    <t>Ostatní dávky sociální pomoci</t>
  </si>
  <si>
    <t xml:space="preserve">Přísp. při péči o osobu blízkou </t>
  </si>
  <si>
    <t>Jednoráz. příspěvek na zvl. pomůcky</t>
  </si>
  <si>
    <t>Příspěvek na úpravu bytu</t>
  </si>
  <si>
    <t>Přísp. na zakoupení, opravu mot. vozidla</t>
  </si>
  <si>
    <t>Přísp. na provoz mot.vozidla</t>
  </si>
  <si>
    <t>Přísp. na individuál. dopravu</t>
  </si>
  <si>
    <t xml:space="preserve">Ostatní dávky zdrav. postiž. občanům </t>
  </si>
  <si>
    <t>Příspěvek na péči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</si>
  <si>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</si>
  <si>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</si>
  <si>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</si>
  <si>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</si>
  <si>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</si>
  <si>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</si>
  <si>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</si>
  <si>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</si>
  <si>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</si>
  <si>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</si>
  <si>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</si>
  <si>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</si>
  <si>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</si>
  <si>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Vnitřní správa - nákup sociálních poukázek</t>
  </si>
  <si>
    <t>Finanční vypořádání min. let - vratky poskytnutých transferů</t>
  </si>
  <si>
    <t>Ostatní činnosti jinde nezařazené - ostat. neivestiční výdaje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</si>
  <si>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</si>
  <si>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</si>
  <si>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</si>
  <si>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</si>
  <si>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</si>
  <si>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</si>
  <si>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</si>
  <si>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Úpravy vodohosp. význam. a vodáren. toků-protipovodňnová  opatření</t>
  </si>
  <si>
    <t>Záležitosti vod. toků a vodohosp. děl jinde nezařazené</t>
  </si>
  <si>
    <t>Ostatní záležitosti vodního hospodářství</t>
  </si>
  <si>
    <t>Monitoring nakládání s odpady  (skládka Ch.N.Ves)</t>
  </si>
  <si>
    <t>Plán odpadového hospodářství Města Břeclav</t>
  </si>
  <si>
    <t>Rybářství</t>
  </si>
  <si>
    <t>Ostatní ochrana půdy a spodních vod</t>
  </si>
  <si>
    <t>Ochrana druhů a stanovišť</t>
  </si>
  <si>
    <t>Ostatní ochrana přírody - znalecké posudky</t>
  </si>
  <si>
    <t>VÝDAJE ORJ 60 CELKEM</t>
  </si>
  <si>
    <t>ODBOR SPRÁVNÍCH VĚCÍ A DOPRAVY</t>
  </si>
  <si>
    <t>Záležitosti pozem. komunikací j. n. - BESIP</t>
  </si>
  <si>
    <t>Provoz vnitrozemské plavby (Břeclav-Pohansko-Janohrad)</t>
  </si>
  <si>
    <t xml:space="preserve">Činnost místní správy - zálohy </t>
  </si>
  <si>
    <t>VÝDAJE ORJ 80 CELKEM</t>
  </si>
  <si>
    <t>MĚSTSKÁ POLICIE</t>
  </si>
  <si>
    <t xml:space="preserve">Bezpečnost a veřejný pořádek </t>
  </si>
  <si>
    <t>VÝDAJE ORJ  90 CELKEM</t>
  </si>
  <si>
    <t>ODBOR STAVEBNÍHO ŘÁDU A ÚP</t>
  </si>
  <si>
    <t>Územní plánování</t>
  </si>
  <si>
    <t>Stavební úřad</t>
  </si>
  <si>
    <t>ODBOR EKONOMICKÝ</t>
  </si>
  <si>
    <t>Program podpory individuál. byt. výstavby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</si>
  <si>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</si>
  <si>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</si>
  <si>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</si>
  <si>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</si>
  <si>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</si>
  <si>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</si>
  <si>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ODBOR MAJETKOVÝ A PRÁVNÍ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</si>
  <si>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</si>
  <si>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</si>
  <si>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</si>
  <si>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Bytové a nebytové hospodářství - Domovní správa Břeclav </t>
  </si>
  <si>
    <t>Bytové a nebytové hospodářství - Domovní správa Břeclav - bezúroč.  půjčka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</si>
  <si>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</si>
  <si>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</si>
  <si>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</si>
  <si>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</si>
  <si>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</si>
  <si>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</si>
  <si>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ODBOR SPRÁVY NEMOVITOSTÍ</t>
  </si>
  <si>
    <t xml:space="preserve">Bytové hospodářství </t>
  </si>
  <si>
    <t xml:space="preserve">Nebytové hospodářství </t>
  </si>
  <si>
    <t>Ostatní činnosti</t>
  </si>
  <si>
    <t>VÝDAJE ORJ 130  CELKEM</t>
  </si>
  <si>
    <t>CELKEM VÝDAJE MĚSTA</t>
  </si>
  <si>
    <t>Kapitálové výdaje</t>
  </si>
  <si>
    <t>Město Břeclav</t>
  </si>
  <si>
    <t>Položka</t>
  </si>
  <si>
    <t>%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</si>
  <si>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</si>
  <si>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</si>
  <si>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</si>
  <si>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</si>
  <si>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nákup zvuk. knih</t>
  </si>
  <si>
    <t xml:space="preserve">Neinvestiční přijaté transfery od obcí na žáka </t>
  </si>
  <si>
    <t>Neinvestiční přijaté dotace od krajů - (na TIC, Muzej. noc v synagoze)</t>
  </si>
  <si>
    <t xml:space="preserve">Příjmy z poskyt. služeb - TIC </t>
  </si>
  <si>
    <t xml:space="preserve">Příjmy z prodeje zboží - TIC </t>
  </si>
  <si>
    <t>Ostatní nedaňové příjmy jinde nezařazené-Cestovní ruch</t>
  </si>
  <si>
    <t>Odvody příspěvkových organizací</t>
  </si>
  <si>
    <t>Ost. nedaň. příjmy - ZŠ -bude proveden přesun rozp. do 4121 dle smluv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</si>
  <si>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</si>
  <si>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</si>
  <si>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</si>
  <si>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</si>
  <si>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</si>
  <si>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</si>
  <si>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</si>
  <si>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Příjmy z poskytováných služeb-záležitosti sdělovacích prostředků</t>
  </si>
  <si>
    <t>Přijaté dary - zájmová činnost v kultuře</t>
  </si>
  <si>
    <t>Příjmy z poskytovaných služeb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</si>
  <si>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</si>
  <si>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</si>
  <si>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</si>
  <si>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</si>
  <si>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</si>
  <si>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</si>
  <si>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</si>
  <si>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</si>
  <si>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</si>
  <si>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</si>
  <si>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</si>
  <si>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</si>
  <si>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</si>
  <si>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Přijaté nekapitálové příspěvky a náhr. - mezinárod. spolupráce</t>
  </si>
  <si>
    <t>Neidentif. příjmy</t>
  </si>
  <si>
    <t>PŘÍJMY ORJ 10 CELKEM</t>
  </si>
  <si>
    <t xml:space="preserve">ODBOR DOTACÍ A ROZVOJE                  </t>
  </si>
  <si>
    <t>Neinv. přij. transfery od krajů - prevence kriminality</t>
  </si>
  <si>
    <t>Inv. přij. transfery ze státních fondů - OPŽP-ZŠ Slovácká</t>
  </si>
  <si>
    <t>Inv. přij. transfery ze státních fondů - EU - OPŽP-MŠ Břetislavova</t>
  </si>
  <si>
    <t>Ostat. investič. přij. transf. ze SR-Valtická úpr. veř. prostr., park. IPRM</t>
  </si>
  <si>
    <t>ZŠ Slovácká - stav. úpravy, zateplení -podíl EU</t>
  </si>
  <si>
    <t>Ostat. investič. přij. transf. ze SR-MŠ Břetislavova-podíl EU, SR</t>
  </si>
  <si>
    <t>Prevence kriminality-systém včasné intervence-podíl SR</t>
  </si>
  <si>
    <t>Inv. přij. transf. od region. rad - Revit.sport. areálu ZŠ Slovácká - SR</t>
  </si>
  <si>
    <t>Inv. přij. transf. od region. rad - Revit.sport. areálu ZŠ Slovácká - EU</t>
  </si>
  <si>
    <t>Přijaté nekapitál. přísp. a náhrady - pam. péče - Revital. zámku Břeclav</t>
  </si>
  <si>
    <t>Přijaté sankční poplatky - památková péče</t>
  </si>
  <si>
    <t>Přijaté nekapitál. přísp. a náhrady - památková péče</t>
  </si>
  <si>
    <t>Přijaté investiční příspěvky- Památník přátelství Poštorná-Zweetendorf</t>
  </si>
  <si>
    <t>PŘÍJMY ORJ 20 CELKEM</t>
  </si>
  <si>
    <t>Místní poplatek za lázeňský a rekreační pobyt</t>
  </si>
  <si>
    <t>Místní poplatek za užívání veřejného prostranství</t>
  </si>
  <si>
    <t>Místní poplatek za ubytovací kapacitu</t>
  </si>
  <si>
    <t>Splátky půjček ze sociálního fondu</t>
  </si>
  <si>
    <t>Neinvestič. přij. transf. ze SR-volby do Parlamentu ČR</t>
  </si>
  <si>
    <t>Neinvestič. přij. transf. ze SR-výk. st. spr. soc.-práv.ochr.dětí</t>
  </si>
  <si>
    <t>Neinvestič. přij. transf. ze SR-výk. st. spr. -sociální služby</t>
  </si>
  <si>
    <t>Ostat. neinv. přij. transfery ze SR a ESF - aktiv. politika zaměst.</t>
  </si>
  <si>
    <t>Neinvestiční přij. transfery od obcí a krajů</t>
  </si>
  <si>
    <t>Neinvestič. příj. transfery od krajů</t>
  </si>
  <si>
    <t xml:space="preserve">Převody z ostatních vlastních fondů </t>
  </si>
  <si>
    <t>Investiční přijaté transfery od krajů (SDH - vozidlo)</t>
  </si>
  <si>
    <t>Přijaté pojistné náhrady -silnice</t>
  </si>
  <si>
    <t>Přijaté nekapitálové příspěvky a náhrady - silnice</t>
  </si>
  <si>
    <t>Příjmy z poskytovaných služeb -  placené parkovací zóny</t>
  </si>
  <si>
    <t>Příjmy z prodeje ostat. hmot. dlouhodob.  maj. - silnice</t>
  </si>
  <si>
    <t>Příjmy z pronájmu pozemků-ostatní záležitosti pozemních komunikací</t>
  </si>
  <si>
    <t>Příjmy z pronájmu movitých věcí - ost. zál. pozem. komunikací</t>
  </si>
  <si>
    <t>Ostat. nedaňové příjmy jinde nezařaz.-ost. zál. pozem. komunikací</t>
  </si>
  <si>
    <t>Přijaté nekapit. příspěvky a náhrady - Ostat. zál. v silnič. dopravě</t>
  </si>
  <si>
    <t>Ostat. nedaň. příjmy jinde nezařaz.</t>
  </si>
  <si>
    <t>Příjmy z poskyt. služeb -rozhlas a televize</t>
  </si>
  <si>
    <t>Příjmy z pronájmu movit. věcí - veřejné osvětlení</t>
  </si>
  <si>
    <t>Přijaté pojistné náhrady - veřejné osvětlení</t>
  </si>
  <si>
    <t>Přijaté nekapitálové příspěvky a náhrady - veřej. osvětlení</t>
  </si>
  <si>
    <t>Příjmy z poskytovaných služeb - pohřebnictví</t>
  </si>
  <si>
    <t>Příjmy z pronájmu - smuteč.obřadní síně</t>
  </si>
  <si>
    <t>Přijaté nekapitálové příspěvky a náhrady - smuteč- obř. síně</t>
  </si>
  <si>
    <t>Ostatní nedaňové příjmy - pohřebnictví</t>
  </si>
  <si>
    <t>Přijaté nekapitálové příspěvky a náhrady - sběr a svoz TKO</t>
  </si>
  <si>
    <t>Přijaté nekapitálové příspěvky a náhr.-sběr a svoz TKO</t>
  </si>
  <si>
    <t>Přijaté nekapitálové příspěvky a náhrady-využívání a zneškod. komun. odp.</t>
  </si>
  <si>
    <t>Přijaté nekapitálové příspěvky a náhrady - péče o vzhled obcí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</si>
  <si>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</si>
  <si>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</si>
  <si>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</si>
  <si>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</si>
  <si>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pozemku</t>
  </si>
  <si>
    <t>Příjmy z pronájmu ostatních nemovitostí</t>
  </si>
  <si>
    <t>Přijaté sankční poplatky</t>
  </si>
  <si>
    <t>Příjmy z prodeje krátkodobého a drobného majetku</t>
  </si>
  <si>
    <t>Příjmy z pronájmu movitých věcí -vnitřní správa</t>
  </si>
  <si>
    <t>Přijaté neinvestiční dary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</si>
  <si>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</si>
  <si>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</si>
  <si>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</si>
  <si>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</si>
  <si>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</si>
  <si>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Ost. neinvest. přij. transfery ze SR (příspěvek na služby a péči)</t>
  </si>
  <si>
    <t>Ost. neinvest. přij. transfery ze SR (na soc.péči  a hmot.nouzi)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</si>
  <si>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</si>
  <si>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</si>
  <si>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</si>
  <si>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</si>
  <si>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 - příspěvek na živobytí</t>
  </si>
  <si>
    <t>Ostatní přijaté vratky transferů-ost. dávky sociální pomoci</t>
  </si>
  <si>
    <t>Ostatní přijaté vratky transferů - přísp. na osobu blízkou</t>
  </si>
  <si>
    <t xml:space="preserve">Ostatní přijaté vratky transferů-příspěvek na zvlášt. pomůcky </t>
  </si>
  <si>
    <t>Ostatní přijaté vratky transferů - přísp. na úpr. a provoz bezbar.bytu</t>
  </si>
  <si>
    <t>Ostatní přijaté vratky transferů-dávky soc. péče pro rodinu</t>
  </si>
  <si>
    <t>Ostatní přijaté vratky transferů-přísp. na provoz motor. vozidla</t>
  </si>
  <si>
    <t>Ostatní přijaté vratky transferů -ostat. dávky zdrav. postiž. občanům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</si>
  <si>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</si>
  <si>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</si>
  <si>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</si>
  <si>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</si>
  <si>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</si>
  <si>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Přijaté nekapitálové příspěvky-ost. zál. soc. věcí a politiky  zaměst.</t>
  </si>
  <si>
    <t xml:space="preserve">Příjmy z poskyt. služeb - ref. mzdy </t>
  </si>
  <si>
    <t>Přijaté sankční poplatky-pokuty</t>
  </si>
  <si>
    <t xml:space="preserve">Ostatní nedaňové příjmy </t>
  </si>
  <si>
    <t>Ostatní přijaté vratky transferů - Ostatní činnosti jindé nezařazené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</si>
  <si>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</si>
  <si>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</si>
  <si>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</si>
  <si>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</si>
  <si>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ze zeměd. půd. fondu</t>
  </si>
  <si>
    <t>Ostat. neinv. transf. ze SR-Výsadba min. podílu zpev. a melior.dřevin</t>
  </si>
  <si>
    <t>Ostat. neinv. transf. ze SR - odbor. les. hosp.,zvýš.nákl. výsadbu</t>
  </si>
  <si>
    <t>Ostat. investič. přij. transfery ze SR - zprac. lesních osnov</t>
  </si>
  <si>
    <t>Úhrada z vydobývaného prostoru</t>
  </si>
  <si>
    <t>Přijaté sankční platby - ostat. čin. k ochr. ovzduší</t>
  </si>
  <si>
    <t>Přijaté nekapitálové příspěvky - náklady řízení</t>
  </si>
  <si>
    <t>Ostatní nedaňové příjmy jinde nezařazené</t>
  </si>
  <si>
    <t>PŘÍJMY ORJ 60 CELKEM</t>
  </si>
  <si>
    <t>ŽIVNOSTENSKÝ ÚŘAD</t>
  </si>
  <si>
    <t>Přijaté nekapitálové příspěvky a náhrady</t>
  </si>
  <si>
    <t>PŘÍJMY ORJ 70 CELKEM</t>
  </si>
  <si>
    <t>Příjmy za zkoušky z odborné způsobilosti (řidičská oprávnění)</t>
  </si>
  <si>
    <t>Ost. odvody z vybr. čin. a služ. j. n.</t>
  </si>
  <si>
    <t>Sankční poplatky</t>
  </si>
  <si>
    <t>Přijaté nekapitálové příspěvky jinde nezařazené</t>
  </si>
  <si>
    <t>Ostat. nedaňové příjmy jinde nezařazené-odbor správ. věcí a dopr.</t>
  </si>
  <si>
    <t>PŘÍJMY ORJ 80 CELKEM</t>
  </si>
  <si>
    <t>Neinv. příjaté dodace od obcí - veřejnoprávní smlouvy</t>
  </si>
  <si>
    <t>Příjmy z prodeje drob. a krátkodob. majetku</t>
  </si>
  <si>
    <t>Ostatní činnosti - neidentifikované platby</t>
  </si>
  <si>
    <t>PŘÍJMY ORJ 90 CELKEM</t>
  </si>
  <si>
    <t>Ostatní inv.přijaté transfery ze SR</t>
  </si>
  <si>
    <t>Přijaté příspěvky na investice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</si>
  <si>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</si>
  <si>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</si>
  <si>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</si>
  <si>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</si>
  <si>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</si>
  <si>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</si>
  <si>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</si>
  <si>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Poplatky za odnětí pozemku ze zem. půd. fondu</t>
  </si>
  <si>
    <t>Zrušené daně ze zboží a služeb</t>
  </si>
  <si>
    <t>Místní poplatek za komunální odpad</t>
  </si>
  <si>
    <t>Místní poplatek ze psa</t>
  </si>
  <si>
    <t>Zrušené místní poplatky-dopl.min.let-komunální odpad</t>
  </si>
  <si>
    <t>Odvod výtěžku z provozování loterií - výher. hr. přistrojů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</si>
  <si>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</si>
  <si>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</si>
  <si>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</si>
  <si>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</si>
  <si>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Příjmy z úroků - individuál. modernizace byt. fondu</t>
  </si>
  <si>
    <t>Přijaté sankční platby - individuál. modernizace byt. fondu</t>
  </si>
  <si>
    <t>Přijaté sankč. platby -  výher. hrací přístroje</t>
  </si>
  <si>
    <t>Neidentifikované příjmy - činnost míst. správy</t>
  </si>
  <si>
    <t>Příjmy z úroků</t>
  </si>
  <si>
    <t>Příjmy z podílu na zisku a dividend</t>
  </si>
  <si>
    <t>Přijaté sankč. platby -  individuál.moder. byt. fondu</t>
  </si>
  <si>
    <t>Ostatní nedaňové příjmy j. n. -  § Ostatní finanční operace</t>
  </si>
  <si>
    <t>Neidentifikované příjmy - ostat. činnosti</t>
  </si>
  <si>
    <t>PŘÍJMY ORJ 110 CELKEM</t>
  </si>
  <si>
    <t>Splátky půjčených prostředků od PO</t>
  </si>
  <si>
    <t>Odvod Domovní správa Břeclav</t>
  </si>
  <si>
    <t>Příjmy z pronájmu ostat. nemovitostí -bytové hospodářství</t>
  </si>
  <si>
    <t>Příjmy z prodeje krátkodob. a drob. majetku - 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</si>
  <si>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</si>
  <si>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</si>
  <si>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</si>
  <si>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pronájmu ostat. nemovitého maj. - nebytové hospodář.</t>
  </si>
  <si>
    <t>Příjmy z prodeje ostat. nemovitého maj. - nebytové hospodář.</t>
  </si>
  <si>
    <t>Příjmy z pronájmu ost.nem. - TEPLO s.r.o.</t>
  </si>
  <si>
    <t>Příjmy z pronájmu pozemků- územní rozvoj</t>
  </si>
  <si>
    <t>Ostatní  příjmy z vlastní činnosti - Komunál. služby a rozvoj</t>
  </si>
  <si>
    <t>Příjmy z pronájmu pozemků</t>
  </si>
  <si>
    <t xml:space="preserve">Přijaté nekapitálové příspěvky </t>
  </si>
  <si>
    <t xml:space="preserve">Příjmy z prodeje pozemků </t>
  </si>
  <si>
    <t>Příjmy z prodeje ost. nemovitostí a jejich částí</t>
  </si>
  <si>
    <t>Příjmy z prodeje pozemků-byt. hosp.</t>
  </si>
  <si>
    <t>Příjmy z prodeje ost. nemovitostí</t>
  </si>
  <si>
    <t xml:space="preserve">Příj. z prodeje ost. hmot. dlouhodob. maj. </t>
  </si>
  <si>
    <t>Ostatní příjmy z prodeje dlouhodobého majetku - VAK</t>
  </si>
  <si>
    <t>Příijaté nekapitálové příspěvky</t>
  </si>
  <si>
    <t>PŘÍJMY ORJ 120 CELKEM</t>
  </si>
  <si>
    <t>Bytové hospodářství - příjmy z poskytování služeb</t>
  </si>
  <si>
    <t>Bytové hospodářství - příjmy z pronájmu ostat. nem.</t>
  </si>
  <si>
    <t>Nebytové hospodářství - příjmy z poskytování služeb</t>
  </si>
  <si>
    <t xml:space="preserve">Nebytové hospodářství - ostatní odvody přebytků organizací </t>
  </si>
  <si>
    <t>Nebytové hospodářství - příjmy z pronájmu ostat. nem.</t>
  </si>
  <si>
    <t>PŘÍJMY ORJ 130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</si>
  <si>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</si>
  <si>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</si>
  <si>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</si>
  <si>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</si>
  <si>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</si>
  <si>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</si>
  <si>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</si>
  <si>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</si>
  <si>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</si>
  <si>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</si>
  <si>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</si>
  <si>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</si>
  <si>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</si>
  <si>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</si>
  <si>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</si>
  <si>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</si>
  <si>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</si>
  <si>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</si>
  <si>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</si>
  <si>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</si>
  <si>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</si>
  <si>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</si>
  <si>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</si>
  <si>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</si>
  <si>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</si>
  <si>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</si>
  <si>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</si>
  <si>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</si>
  <si>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v tis. Kč</t>
  </si>
  <si>
    <t>Predikce</t>
  </si>
  <si>
    <t>2013</t>
  </si>
  <si>
    <t>2010</t>
  </si>
  <si>
    <t>2011</t>
  </si>
  <si>
    <t>2012</t>
  </si>
  <si>
    <t xml:space="preserve">                                      SUMÁŘ -  ROZPOČET  VÝDAJŮ  NA  ROK  2010 - 2013</t>
  </si>
  <si>
    <t>SUMÁŘ - ROZPOČET PŘÍJMŮ NA ROK 2010 - 2013</t>
  </si>
  <si>
    <t>Úpravy vodohospodářských toků-protipovodňnová  opatření</t>
  </si>
  <si>
    <t>Provoz veř.silniční dopravy-MHD-BORS, dotace na provoz,žákovské jízdné</t>
  </si>
  <si>
    <t>Provoz veřejné silniční dopravy - MHD -BORS, dotace na investice</t>
  </si>
  <si>
    <t>Provoz veřejné silniční dopravy - MHD -příspěvek do fondu IDS JMK</t>
  </si>
  <si>
    <t>Inv. přij. transfery ze státních fondů - EU- OPŽP- Domov seniorů</t>
  </si>
  <si>
    <t>Inv. přij. transfery ze státních fondů - EU- OPŽP- Městský úřad</t>
  </si>
  <si>
    <t>Inv. přij. transfery ze státních fondů - SFDI - Cyklostezka Na Řádku</t>
  </si>
  <si>
    <t>Inv. přij. transfery ze státních fondů - SFDI - Lávka pro pěší</t>
  </si>
  <si>
    <t>Ostatní dotace - MND - Cyklostezka Na Řádku</t>
  </si>
  <si>
    <t>Investiční akce r. 2010, přecházející do r. 2011</t>
  </si>
  <si>
    <t>Sociální pomoc osobám v souvislosti s živelní pohromou</t>
  </si>
  <si>
    <t>Místní poplatek za VHP a JTHZ</t>
  </si>
  <si>
    <t>Volby</t>
  </si>
  <si>
    <t>Provoz veřejné silniční dopravy</t>
  </si>
  <si>
    <t>Veřejný pořádek (příjmy z činnosti přestupkové komise)</t>
  </si>
  <si>
    <t xml:space="preserve">Využití vol.času dětí a mládeže   </t>
  </si>
  <si>
    <t xml:space="preserve">Činnosti knihovnické  - Městská knihovna            </t>
  </si>
  <si>
    <t xml:space="preserve">Činnosti muzeí a galerií  - Městské muzeum -běžný provoz     </t>
  </si>
  <si>
    <t>Příl. č. 2</t>
  </si>
  <si>
    <t>PŘÍJMY</t>
  </si>
  <si>
    <t>VÝDAJE</t>
  </si>
  <si>
    <t xml:space="preserve">Podpora sport.oddílů - dotace </t>
  </si>
  <si>
    <t xml:space="preserve">Sportovní zařízení v majetku obce -TEREZA   </t>
  </si>
  <si>
    <t>eGovernment - zříz.techn.centra (obce s rozš.působn.) vlastní podíl</t>
  </si>
  <si>
    <t>RS</t>
  </si>
  <si>
    <t>RU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</si>
</sst>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 CE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4" xfId="46" applyFont="1" applyFill="1" applyBorder="1">
      <alignment/>
      <protection/>
    </xf>
    <xf numFmtId="0" fontId="7" fillId="0" borderId="14" xfId="46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3" xfId="46" applyFont="1" applyFill="1" applyBorder="1">
      <alignment/>
      <protection/>
    </xf>
    <xf numFmtId="0" fontId="7" fillId="0" borderId="13" xfId="46" applyFont="1" applyFill="1" applyBorder="1" applyAlignment="1">
      <alignment horizontal="right"/>
      <protection/>
    </xf>
    <xf numFmtId="0" fontId="7" fillId="0" borderId="13" xfId="46" applyFont="1" applyFill="1" applyBorder="1" applyAlignment="1">
      <alignment horizontal="left"/>
      <protection/>
    </xf>
    <xf numFmtId="0" fontId="7" fillId="0" borderId="25" xfId="46" applyFont="1" applyFill="1" applyBorder="1">
      <alignment/>
      <protection/>
    </xf>
    <xf numFmtId="0" fontId="7" fillId="0" borderId="24" xfId="46" applyFont="1" applyFill="1" applyBorder="1" applyAlignment="1">
      <alignment horizontal="right"/>
      <protection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3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" fontId="4" fillId="0" borderId="31" xfId="46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4" fontId="4" fillId="0" borderId="16" xfId="46" applyNumberFormat="1" applyFont="1" applyFill="1" applyBorder="1" applyAlignment="1">
      <alignment horizontal="center"/>
      <protection/>
    </xf>
    <xf numFmtId="49" fontId="4" fillId="0" borderId="16" xfId="46" applyNumberFormat="1" applyFont="1" applyFill="1" applyBorder="1" applyAlignment="1">
      <alignment horizontal="center"/>
      <protection/>
    </xf>
    <xf numFmtId="3" fontId="4" fillId="0" borderId="31" xfId="46" applyNumberFormat="1" applyFont="1" applyFill="1" applyBorder="1" applyAlignment="1">
      <alignment horizontal="center"/>
      <protection/>
    </xf>
    <xf numFmtId="3" fontId="4" fillId="0" borderId="16" xfId="46" applyNumberFormat="1" applyFont="1" applyFill="1" applyBorder="1" applyAlignment="1">
      <alignment horizontal="center"/>
      <protection/>
    </xf>
    <xf numFmtId="3" fontId="4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 applyProtection="1">
      <alignment horizontal="right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46" applyFont="1" applyFill="1" applyAlignment="1">
      <alignment horizontal="center"/>
      <protection/>
    </xf>
    <xf numFmtId="0" fontId="0" fillId="0" borderId="0" xfId="0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8"/>
  <sheetViews>
    <sheetView tabSelected="1" zoomScale="85" zoomScaleNormal="85" zoomScalePageLayoutView="0" workbookViewId="0" topLeftCell="A192">
      <selection activeCell="B218" sqref="B218"/>
    </sheetView>
  </sheetViews>
  <sheetFormatPr defaultColWidth="9.140625" defaultRowHeight="12.75"/>
  <cols>
    <col min="1" max="1" width="7.57421875" style="83" customWidth="1"/>
    <col min="2" max="3" width="10.28125" style="83" customWidth="1"/>
    <col min="4" max="4" width="75.00390625" style="83" customWidth="1"/>
    <col min="5" max="6" width="16.7109375" style="132" customWidth="1"/>
    <col min="7" max="7" width="16.7109375" style="132" hidden="1" customWidth="1"/>
    <col min="8" max="8" width="11.421875" style="132" hidden="1" customWidth="1"/>
    <col min="9" max="12" width="16.7109375" style="132" customWidth="1"/>
    <col min="13" max="16384" width="9.140625" style="83" customWidth="1"/>
  </cols>
  <sheetData>
    <row r="2" spans="1:12" ht="21.75" customHeight="1">
      <c r="A2" s="214" t="s">
        <v>218</v>
      </c>
      <c r="B2" s="215"/>
      <c r="C2" s="215"/>
      <c r="D2" s="80"/>
      <c r="E2" s="212"/>
      <c r="F2" s="81"/>
      <c r="G2" s="82"/>
      <c r="H2" s="82"/>
      <c r="I2" s="81"/>
      <c r="J2" s="81"/>
      <c r="K2" s="81"/>
      <c r="L2" s="208" t="s">
        <v>483</v>
      </c>
    </row>
    <row r="3" spans="1:12" ht="21.75" customHeight="1">
      <c r="A3" s="213"/>
      <c r="B3" s="8"/>
      <c r="C3" s="8"/>
      <c r="D3" s="80"/>
      <c r="E3" s="212"/>
      <c r="F3" s="81"/>
      <c r="G3" s="82"/>
      <c r="H3" s="82"/>
      <c r="I3" s="81"/>
      <c r="J3" s="81"/>
      <c r="K3" s="81"/>
      <c r="L3" s="208"/>
    </row>
    <row r="4" spans="1:12" ht="12.75" customHeight="1">
      <c r="A4" s="1"/>
      <c r="B4" s="2"/>
      <c r="C4" s="1"/>
      <c r="D4" s="84"/>
      <c r="E4" s="81"/>
      <c r="F4" s="81"/>
      <c r="G4" s="81"/>
      <c r="H4" s="81"/>
      <c r="I4" s="81"/>
      <c r="J4" s="81"/>
      <c r="K4" s="81"/>
      <c r="L4" s="81"/>
    </row>
    <row r="5" spans="1:8" s="2" customFormat="1" ht="20.25">
      <c r="A5" s="216" t="s">
        <v>464</v>
      </c>
      <c r="B5" s="216"/>
      <c r="C5" s="216"/>
      <c r="D5" s="217"/>
      <c r="E5" s="217"/>
      <c r="F5" s="159"/>
      <c r="G5" s="159"/>
      <c r="H5" s="159"/>
    </row>
    <row r="6" spans="1:12" s="2" customFormat="1" ht="15" customHeight="1" thickBot="1">
      <c r="A6" s="85"/>
      <c r="B6" s="85"/>
      <c r="C6" s="85"/>
      <c r="D6" s="85"/>
      <c r="E6" s="86"/>
      <c r="F6" s="86"/>
      <c r="G6" s="87"/>
      <c r="H6" s="86"/>
      <c r="I6" s="86"/>
      <c r="J6" s="86"/>
      <c r="K6" s="86"/>
      <c r="L6" s="87" t="s">
        <v>1</v>
      </c>
    </row>
    <row r="7" spans="1:12" ht="18">
      <c r="A7" s="160" t="s">
        <v>2</v>
      </c>
      <c r="B7" s="160" t="s">
        <v>3</v>
      </c>
      <c r="C7" s="160" t="s">
        <v>219</v>
      </c>
      <c r="D7" s="209" t="s">
        <v>484</v>
      </c>
      <c r="E7" s="162" t="s">
        <v>489</v>
      </c>
      <c r="F7" s="162" t="s">
        <v>490</v>
      </c>
      <c r="G7" s="162" t="s">
        <v>6</v>
      </c>
      <c r="H7" s="162" t="s">
        <v>220</v>
      </c>
      <c r="I7" s="162" t="s">
        <v>458</v>
      </c>
      <c r="J7" s="162" t="s">
        <v>5</v>
      </c>
      <c r="K7" s="162" t="s">
        <v>5</v>
      </c>
      <c r="L7" s="162" t="s">
        <v>5</v>
      </c>
    </row>
    <row r="8" spans="1:12" ht="15.75" customHeight="1" thickBot="1">
      <c r="A8" s="163"/>
      <c r="B8" s="163"/>
      <c r="C8" s="163"/>
      <c r="D8" s="164"/>
      <c r="E8" s="166">
        <v>2010</v>
      </c>
      <c r="F8" s="166">
        <v>2010</v>
      </c>
      <c r="G8" s="166" t="s">
        <v>22</v>
      </c>
      <c r="H8" s="165" t="s">
        <v>221</v>
      </c>
      <c r="I8" s="166">
        <v>2010</v>
      </c>
      <c r="J8" s="166">
        <v>2011</v>
      </c>
      <c r="K8" s="166">
        <v>2012</v>
      </c>
      <c r="L8" s="166" t="s">
        <v>459</v>
      </c>
    </row>
    <row r="9" spans="1:12" ht="16.5" customHeight="1" thickTop="1">
      <c r="A9" s="88">
        <v>10</v>
      </c>
      <c r="B9" s="88"/>
      <c r="C9" s="88"/>
      <c r="D9" s="89" t="s">
        <v>222</v>
      </c>
      <c r="E9" s="90"/>
      <c r="F9" s="90"/>
      <c r="G9" s="90"/>
      <c r="H9" s="90"/>
      <c r="I9" s="90"/>
      <c r="J9" s="90"/>
      <c r="K9" s="90"/>
      <c r="L9" s="90"/>
    </row>
    <row r="10" spans="1:12" ht="15" customHeight="1">
      <c r="A10" s="88"/>
      <c r="B10" s="88"/>
      <c r="C10" s="88"/>
      <c r="D10" s="89"/>
      <c r="E10" s="90"/>
      <c r="F10" s="90"/>
      <c r="G10" s="90"/>
      <c r="H10" s="90"/>
      <c r="I10" s="90"/>
      <c r="J10" s="90"/>
      <c r="K10" s="90"/>
      <c r="L10" s="90"/>
    </row>
    <row r="11" spans="1:12" ht="15">
      <c r="A11" s="48"/>
      <c r="B11" s="48"/>
      <c r="C11" s="48">
        <v>1344</v>
      </c>
      <c r="D11" s="48" t="s">
        <v>223</v>
      </c>
      <c r="E11" s="134">
        <v>15</v>
      </c>
      <c r="F11" s="134">
        <v>15</v>
      </c>
      <c r="G11" s="134">
        <v>0</v>
      </c>
      <c r="H11" s="134">
        <f aca="true" t="shared" si="0" ref="H11:H47">(G11/F11)*100</f>
        <v>0</v>
      </c>
      <c r="I11" s="134">
        <v>0</v>
      </c>
      <c r="J11" s="134">
        <v>0</v>
      </c>
      <c r="K11" s="134">
        <v>0</v>
      </c>
      <c r="L11" s="134">
        <v>0</v>
      </c>
    </row>
    <row r="12" spans="1:12" ht="15">
      <c r="A12" s="48"/>
      <c r="B12" s="48"/>
      <c r="C12" s="48">
        <v>1361</v>
      </c>
      <c r="D12" s="48" t="s">
        <v>224</v>
      </c>
      <c r="E12" s="134">
        <v>15</v>
      </c>
      <c r="F12" s="134">
        <v>15</v>
      </c>
      <c r="G12" s="134">
        <v>15.7</v>
      </c>
      <c r="H12" s="134">
        <f t="shared" si="0"/>
        <v>104.66666666666666</v>
      </c>
      <c r="I12" s="134">
        <v>16</v>
      </c>
      <c r="J12" s="134">
        <v>15</v>
      </c>
      <c r="K12" s="134">
        <v>0</v>
      </c>
      <c r="L12" s="134">
        <v>0</v>
      </c>
    </row>
    <row r="13" spans="1:12" ht="15">
      <c r="A13" s="91"/>
      <c r="B13" s="91"/>
      <c r="C13" s="91">
        <v>4116</v>
      </c>
      <c r="D13" s="48" t="s">
        <v>225</v>
      </c>
      <c r="E13" s="135">
        <v>0</v>
      </c>
      <c r="F13" s="135">
        <v>16</v>
      </c>
      <c r="G13" s="135">
        <v>16</v>
      </c>
      <c r="H13" s="134">
        <f t="shared" si="0"/>
        <v>100</v>
      </c>
      <c r="I13" s="135">
        <v>16</v>
      </c>
      <c r="J13" s="135">
        <v>15</v>
      </c>
      <c r="K13" s="135">
        <v>15</v>
      </c>
      <c r="L13" s="135">
        <v>15</v>
      </c>
    </row>
    <row r="14" spans="1:12" ht="15">
      <c r="A14" s="91"/>
      <c r="B14" s="91"/>
      <c r="C14" s="91">
        <v>4121</v>
      </c>
      <c r="D14" s="91" t="s">
        <v>226</v>
      </c>
      <c r="E14" s="135">
        <v>0</v>
      </c>
      <c r="F14" s="135">
        <v>315</v>
      </c>
      <c r="G14" s="134">
        <v>308</v>
      </c>
      <c r="H14" s="134">
        <f t="shared" si="0"/>
        <v>97.77777777777777</v>
      </c>
      <c r="I14" s="135">
        <v>308</v>
      </c>
      <c r="J14" s="135">
        <v>200</v>
      </c>
      <c r="K14" s="135">
        <v>200</v>
      </c>
      <c r="L14" s="135">
        <v>200</v>
      </c>
    </row>
    <row r="15" spans="1:12" ht="15">
      <c r="A15" s="91"/>
      <c r="B15" s="91"/>
      <c r="C15" s="91">
        <v>4122</v>
      </c>
      <c r="D15" s="91" t="s">
        <v>227</v>
      </c>
      <c r="E15" s="136">
        <v>0</v>
      </c>
      <c r="F15" s="136">
        <v>0</v>
      </c>
      <c r="G15" s="135">
        <v>120</v>
      </c>
      <c r="H15" s="134" t="e">
        <f t="shared" si="0"/>
        <v>#DIV/0!</v>
      </c>
      <c r="I15" s="136">
        <v>120</v>
      </c>
      <c r="J15" s="136">
        <v>0</v>
      </c>
      <c r="K15" s="136">
        <v>0</v>
      </c>
      <c r="L15" s="134">
        <v>0</v>
      </c>
    </row>
    <row r="16" spans="1:12" ht="15">
      <c r="A16" s="91"/>
      <c r="B16" s="91">
        <v>2143</v>
      </c>
      <c r="C16" s="91">
        <v>2111</v>
      </c>
      <c r="D16" s="91" t="s">
        <v>228</v>
      </c>
      <c r="E16" s="135">
        <v>300</v>
      </c>
      <c r="F16" s="135">
        <v>300</v>
      </c>
      <c r="G16" s="135">
        <v>493.2</v>
      </c>
      <c r="H16" s="134">
        <f t="shared" si="0"/>
        <v>164.39999999999998</v>
      </c>
      <c r="I16" s="135">
        <v>650</v>
      </c>
      <c r="J16" s="135">
        <v>500</v>
      </c>
      <c r="K16" s="135">
        <v>500</v>
      </c>
      <c r="L16" s="135">
        <v>500</v>
      </c>
    </row>
    <row r="17" spans="1:12" ht="15">
      <c r="A17" s="91"/>
      <c r="B17" s="91">
        <v>2143</v>
      </c>
      <c r="C17" s="91">
        <v>2112</v>
      </c>
      <c r="D17" s="91" t="s">
        <v>229</v>
      </c>
      <c r="E17" s="135">
        <v>450</v>
      </c>
      <c r="F17" s="135">
        <v>450</v>
      </c>
      <c r="G17" s="135">
        <v>398.4</v>
      </c>
      <c r="H17" s="134">
        <f t="shared" si="0"/>
        <v>88.53333333333333</v>
      </c>
      <c r="I17" s="135">
        <v>500</v>
      </c>
      <c r="J17" s="135">
        <v>500</v>
      </c>
      <c r="K17" s="135">
        <v>500</v>
      </c>
      <c r="L17" s="135">
        <v>500</v>
      </c>
    </row>
    <row r="18" spans="1:12" ht="15">
      <c r="A18" s="91"/>
      <c r="B18" s="91">
        <v>2143</v>
      </c>
      <c r="C18" s="91">
        <v>2329</v>
      </c>
      <c r="D18" s="91" t="s">
        <v>230</v>
      </c>
      <c r="E18" s="135">
        <v>0</v>
      </c>
      <c r="F18" s="135">
        <v>0</v>
      </c>
      <c r="G18" s="135">
        <v>5</v>
      </c>
      <c r="H18" s="134" t="e">
        <f t="shared" si="0"/>
        <v>#DIV/0!</v>
      </c>
      <c r="I18" s="135">
        <v>9</v>
      </c>
      <c r="J18" s="135">
        <v>0</v>
      </c>
      <c r="K18" s="135">
        <v>0</v>
      </c>
      <c r="L18" s="135">
        <v>0</v>
      </c>
    </row>
    <row r="19" spans="1:12" ht="15">
      <c r="A19" s="91"/>
      <c r="B19" s="91">
        <v>3113</v>
      </c>
      <c r="C19" s="91">
        <v>2122</v>
      </c>
      <c r="D19" s="91" t="s">
        <v>231</v>
      </c>
      <c r="E19" s="135">
        <v>330</v>
      </c>
      <c r="F19" s="135">
        <v>330</v>
      </c>
      <c r="G19" s="135">
        <v>0</v>
      </c>
      <c r="H19" s="134">
        <f t="shared" si="0"/>
        <v>0</v>
      </c>
      <c r="I19" s="135">
        <v>0</v>
      </c>
      <c r="J19" s="135">
        <v>0</v>
      </c>
      <c r="K19" s="135">
        <v>0</v>
      </c>
      <c r="L19" s="135">
        <v>0</v>
      </c>
    </row>
    <row r="20" spans="1:12" ht="15">
      <c r="A20" s="91"/>
      <c r="B20" s="91">
        <v>3113</v>
      </c>
      <c r="C20" s="91">
        <v>2329</v>
      </c>
      <c r="D20" s="91" t="s">
        <v>232</v>
      </c>
      <c r="E20" s="135">
        <v>220</v>
      </c>
      <c r="F20" s="135">
        <v>0</v>
      </c>
      <c r="G20" s="135">
        <v>0</v>
      </c>
      <c r="H20" s="134" t="e">
        <f t="shared" si="0"/>
        <v>#DIV/0!</v>
      </c>
      <c r="I20" s="135">
        <v>0</v>
      </c>
      <c r="J20" s="135">
        <v>0</v>
      </c>
      <c r="K20" s="135">
        <v>0</v>
      </c>
      <c r="L20" s="135">
        <v>0</v>
      </c>
    </row>
    <row r="21" spans="1:12" ht="15">
      <c r="A21" s="91"/>
      <c r="B21" s="91">
        <v>3313</v>
      </c>
      <c r="C21" s="91">
        <v>2132</v>
      </c>
      <c r="D21" s="91" t="s">
        <v>233</v>
      </c>
      <c r="E21" s="135">
        <v>350</v>
      </c>
      <c r="F21" s="135">
        <v>350</v>
      </c>
      <c r="G21" s="135">
        <v>94.8</v>
      </c>
      <c r="H21" s="134">
        <f t="shared" si="0"/>
        <v>27.085714285714285</v>
      </c>
      <c r="I21" s="135">
        <v>331.8</v>
      </c>
      <c r="J21" s="135">
        <v>350</v>
      </c>
      <c r="K21" s="135">
        <v>350</v>
      </c>
      <c r="L21" s="135">
        <v>350</v>
      </c>
    </row>
    <row r="22" spans="1:12" ht="15">
      <c r="A22" s="48"/>
      <c r="B22" s="48">
        <v>3313</v>
      </c>
      <c r="C22" s="48">
        <v>2133</v>
      </c>
      <c r="D22" s="48" t="s">
        <v>234</v>
      </c>
      <c r="E22" s="134">
        <v>0</v>
      </c>
      <c r="F22" s="134">
        <v>0</v>
      </c>
      <c r="G22" s="135">
        <v>5.3</v>
      </c>
      <c r="H22" s="134" t="e">
        <f t="shared" si="0"/>
        <v>#DIV/0!</v>
      </c>
      <c r="I22" s="134">
        <v>18.2</v>
      </c>
      <c r="J22" s="134">
        <v>0</v>
      </c>
      <c r="K22" s="134">
        <v>0</v>
      </c>
      <c r="L22" s="134">
        <v>0</v>
      </c>
    </row>
    <row r="23" spans="1:12" ht="15">
      <c r="A23" s="48"/>
      <c r="B23" s="48">
        <v>3313</v>
      </c>
      <c r="C23" s="48">
        <v>2324</v>
      </c>
      <c r="D23" s="48" t="s">
        <v>235</v>
      </c>
      <c r="E23" s="134">
        <v>0</v>
      </c>
      <c r="F23" s="134">
        <v>0</v>
      </c>
      <c r="G23" s="134">
        <v>20.2</v>
      </c>
      <c r="H23" s="134" t="e">
        <f t="shared" si="0"/>
        <v>#DIV/0!</v>
      </c>
      <c r="I23" s="134">
        <v>20</v>
      </c>
      <c r="J23" s="134">
        <v>0</v>
      </c>
      <c r="K23" s="134">
        <v>0</v>
      </c>
      <c r="L23" s="134">
        <v>0</v>
      </c>
    </row>
    <row r="24" spans="1:12" ht="15" hidden="1">
      <c r="A24" s="48"/>
      <c r="B24" s="48">
        <v>3392</v>
      </c>
      <c r="C24" s="48">
        <v>2329</v>
      </c>
      <c r="D24" s="48" t="s">
        <v>236</v>
      </c>
      <c r="E24" s="134"/>
      <c r="F24" s="134"/>
      <c r="G24" s="134"/>
      <c r="H24" s="134" t="e">
        <f t="shared" si="0"/>
        <v>#DIV/0!</v>
      </c>
      <c r="I24" s="134"/>
      <c r="J24" s="134"/>
      <c r="K24" s="134"/>
      <c r="L24" s="134"/>
    </row>
    <row r="25" spans="1:12" ht="15" hidden="1">
      <c r="A25" s="91"/>
      <c r="B25" s="91">
        <v>3314</v>
      </c>
      <c r="C25" s="91">
        <v>2229</v>
      </c>
      <c r="D25" s="91" t="s">
        <v>237</v>
      </c>
      <c r="E25" s="135"/>
      <c r="F25" s="135"/>
      <c r="G25" s="135"/>
      <c r="H25" s="134" t="e">
        <f t="shared" si="0"/>
        <v>#DIV/0!</v>
      </c>
      <c r="I25" s="135"/>
      <c r="J25" s="135"/>
      <c r="K25" s="135"/>
      <c r="L25" s="135"/>
    </row>
    <row r="26" spans="1:12" ht="15" hidden="1">
      <c r="A26" s="91"/>
      <c r="B26" s="91">
        <v>3315</v>
      </c>
      <c r="C26" s="91">
        <v>2322</v>
      </c>
      <c r="D26" s="91" t="s">
        <v>238</v>
      </c>
      <c r="E26" s="135"/>
      <c r="F26" s="135"/>
      <c r="G26" s="135"/>
      <c r="H26" s="134" t="e">
        <f t="shared" si="0"/>
        <v>#DIV/0!</v>
      </c>
      <c r="I26" s="135"/>
      <c r="J26" s="135"/>
      <c r="K26" s="135"/>
      <c r="L26" s="135"/>
    </row>
    <row r="27" spans="1:12" ht="15" hidden="1">
      <c r="A27" s="91"/>
      <c r="B27" s="91">
        <v>3319</v>
      </c>
      <c r="C27" s="91">
        <v>2324</v>
      </c>
      <c r="D27" s="91" t="s">
        <v>239</v>
      </c>
      <c r="E27" s="135"/>
      <c r="F27" s="135"/>
      <c r="G27" s="135"/>
      <c r="H27" s="134" t="e">
        <f t="shared" si="0"/>
        <v>#DIV/0!</v>
      </c>
      <c r="I27" s="135"/>
      <c r="J27" s="135"/>
      <c r="K27" s="135"/>
      <c r="L27" s="135"/>
    </row>
    <row r="28" spans="1:12" ht="15">
      <c r="A28" s="91"/>
      <c r="B28" s="91">
        <v>3349</v>
      </c>
      <c r="C28" s="91">
        <v>2111</v>
      </c>
      <c r="D28" s="91" t="s">
        <v>240</v>
      </c>
      <c r="E28" s="135">
        <v>1300</v>
      </c>
      <c r="F28" s="135">
        <v>1300</v>
      </c>
      <c r="G28" s="135">
        <v>808.7</v>
      </c>
      <c r="H28" s="134">
        <f t="shared" si="0"/>
        <v>62.207692307692305</v>
      </c>
      <c r="I28" s="135">
        <v>1030</v>
      </c>
      <c r="J28" s="135">
        <v>1150</v>
      </c>
      <c r="K28" s="135">
        <v>1150</v>
      </c>
      <c r="L28" s="135">
        <v>1150</v>
      </c>
    </row>
    <row r="29" spans="1:12" ht="15" hidden="1">
      <c r="A29" s="91"/>
      <c r="B29" s="91">
        <v>3392</v>
      </c>
      <c r="C29" s="91">
        <v>3121</v>
      </c>
      <c r="D29" s="91" t="s">
        <v>241</v>
      </c>
      <c r="E29" s="135">
        <v>0</v>
      </c>
      <c r="F29" s="135">
        <v>0</v>
      </c>
      <c r="G29" s="135"/>
      <c r="H29" s="134" t="e">
        <f t="shared" si="0"/>
        <v>#DIV/0!</v>
      </c>
      <c r="I29" s="135"/>
      <c r="J29" s="135"/>
      <c r="K29" s="135"/>
      <c r="L29" s="135"/>
    </row>
    <row r="30" spans="1:12" ht="15">
      <c r="A30" s="91"/>
      <c r="B30" s="91">
        <v>3399</v>
      </c>
      <c r="C30" s="91">
        <v>2111</v>
      </c>
      <c r="D30" s="91" t="s">
        <v>242</v>
      </c>
      <c r="E30" s="135">
        <v>200</v>
      </c>
      <c r="F30" s="135">
        <v>200</v>
      </c>
      <c r="G30" s="135">
        <v>207.4</v>
      </c>
      <c r="H30" s="134">
        <f t="shared" si="0"/>
        <v>103.69999999999999</v>
      </c>
      <c r="I30" s="135">
        <v>210</v>
      </c>
      <c r="J30" s="135">
        <v>210</v>
      </c>
      <c r="K30" s="135">
        <v>210</v>
      </c>
      <c r="L30" s="135">
        <v>210</v>
      </c>
    </row>
    <row r="31" spans="1:12" ht="15">
      <c r="A31" s="91"/>
      <c r="B31" s="91">
        <v>3399</v>
      </c>
      <c r="C31" s="91">
        <v>2133</v>
      </c>
      <c r="D31" s="91" t="s">
        <v>243</v>
      </c>
      <c r="E31" s="135">
        <v>50</v>
      </c>
      <c r="F31" s="135">
        <v>50</v>
      </c>
      <c r="G31" s="135">
        <v>3</v>
      </c>
      <c r="H31" s="134">
        <f t="shared" si="0"/>
        <v>6</v>
      </c>
      <c r="I31" s="135">
        <v>43</v>
      </c>
      <c r="J31" s="135">
        <v>50</v>
      </c>
      <c r="K31" s="135">
        <v>50</v>
      </c>
      <c r="L31" s="135">
        <v>50</v>
      </c>
    </row>
    <row r="32" spans="1:12" ht="15">
      <c r="A32" s="91"/>
      <c r="B32" s="91">
        <v>3399</v>
      </c>
      <c r="C32" s="91">
        <v>2321</v>
      </c>
      <c r="D32" s="91" t="s">
        <v>244</v>
      </c>
      <c r="E32" s="135">
        <v>20</v>
      </c>
      <c r="F32" s="135">
        <v>20</v>
      </c>
      <c r="G32" s="135">
        <v>30</v>
      </c>
      <c r="H32" s="134">
        <f t="shared" si="0"/>
        <v>150</v>
      </c>
      <c r="I32" s="135">
        <v>30</v>
      </c>
      <c r="J32" s="135">
        <v>30</v>
      </c>
      <c r="K32" s="135">
        <v>30</v>
      </c>
      <c r="L32" s="135">
        <v>30</v>
      </c>
    </row>
    <row r="33" spans="1:12" ht="15">
      <c r="A33" s="91"/>
      <c r="B33" s="91">
        <v>3399</v>
      </c>
      <c r="C33" s="91">
        <v>2324</v>
      </c>
      <c r="D33" s="91" t="s">
        <v>245</v>
      </c>
      <c r="E33" s="135">
        <v>0</v>
      </c>
      <c r="F33" s="135">
        <v>0</v>
      </c>
      <c r="G33" s="135">
        <v>368.3</v>
      </c>
      <c r="H33" s="134" t="e">
        <f t="shared" si="0"/>
        <v>#DIV/0!</v>
      </c>
      <c r="I33" s="135">
        <v>368</v>
      </c>
      <c r="J33" s="135">
        <v>300</v>
      </c>
      <c r="K33" s="135">
        <v>300</v>
      </c>
      <c r="L33" s="135">
        <v>300</v>
      </c>
    </row>
    <row r="34" spans="1:12" ht="15" hidden="1">
      <c r="A34" s="48"/>
      <c r="B34" s="48">
        <v>3319</v>
      </c>
      <c r="C34" s="48">
        <v>2324</v>
      </c>
      <c r="D34" s="48" t="s">
        <v>246</v>
      </c>
      <c r="E34" s="135"/>
      <c r="F34" s="135"/>
      <c r="G34" s="135"/>
      <c r="H34" s="134" t="e">
        <f t="shared" si="0"/>
        <v>#DIV/0!</v>
      </c>
      <c r="I34" s="135"/>
      <c r="J34" s="135"/>
      <c r="K34" s="135"/>
      <c r="L34" s="135"/>
    </row>
    <row r="35" spans="1:12" ht="15" hidden="1">
      <c r="A35" s="48"/>
      <c r="B35" s="48">
        <v>3392</v>
      </c>
      <c r="C35" s="48">
        <v>2324</v>
      </c>
      <c r="D35" s="48" t="s">
        <v>246</v>
      </c>
      <c r="E35" s="135"/>
      <c r="F35" s="135"/>
      <c r="G35" s="135"/>
      <c r="H35" s="134" t="e">
        <f t="shared" si="0"/>
        <v>#DIV/0!</v>
      </c>
      <c r="I35" s="135"/>
      <c r="J35" s="135"/>
      <c r="K35" s="135"/>
      <c r="L35" s="135"/>
    </row>
    <row r="36" spans="1:12" ht="15" hidden="1">
      <c r="A36" s="48"/>
      <c r="B36" s="48">
        <v>3412</v>
      </c>
      <c r="C36" s="48">
        <v>2122</v>
      </c>
      <c r="D36" s="48" t="s">
        <v>247</v>
      </c>
      <c r="E36" s="135"/>
      <c r="F36" s="135"/>
      <c r="G36" s="135"/>
      <c r="H36" s="134" t="e">
        <f t="shared" si="0"/>
        <v>#DIV/0!</v>
      </c>
      <c r="I36" s="135"/>
      <c r="J36" s="135"/>
      <c r="K36" s="135"/>
      <c r="L36" s="135"/>
    </row>
    <row r="37" spans="1:12" ht="15" hidden="1">
      <c r="A37" s="91"/>
      <c r="B37" s="91">
        <v>3412</v>
      </c>
      <c r="C37" s="91">
        <v>2324</v>
      </c>
      <c r="D37" s="91" t="s">
        <v>248</v>
      </c>
      <c r="E37" s="135"/>
      <c r="F37" s="135"/>
      <c r="G37" s="135"/>
      <c r="H37" s="134" t="e">
        <f t="shared" si="0"/>
        <v>#DIV/0!</v>
      </c>
      <c r="I37" s="135"/>
      <c r="J37" s="135"/>
      <c r="K37" s="135"/>
      <c r="L37" s="135"/>
    </row>
    <row r="38" spans="1:12" ht="15" hidden="1">
      <c r="A38" s="91"/>
      <c r="B38" s="91">
        <v>3412</v>
      </c>
      <c r="C38" s="91">
        <v>2329</v>
      </c>
      <c r="D38" s="91" t="s">
        <v>249</v>
      </c>
      <c r="E38" s="135"/>
      <c r="F38" s="135"/>
      <c r="G38" s="135"/>
      <c r="H38" s="134" t="e">
        <f t="shared" si="0"/>
        <v>#DIV/0!</v>
      </c>
      <c r="I38" s="135"/>
      <c r="J38" s="135"/>
      <c r="K38" s="135"/>
      <c r="L38" s="135"/>
    </row>
    <row r="39" spans="1:12" ht="15">
      <c r="A39" s="91"/>
      <c r="B39" s="91">
        <v>3419</v>
      </c>
      <c r="C39" s="91">
        <v>2132</v>
      </c>
      <c r="D39" s="91" t="s">
        <v>250</v>
      </c>
      <c r="E39" s="135">
        <v>700</v>
      </c>
      <c r="F39" s="135">
        <v>700</v>
      </c>
      <c r="G39" s="135">
        <v>150</v>
      </c>
      <c r="H39" s="134">
        <f t="shared" si="0"/>
        <v>21.428571428571427</v>
      </c>
      <c r="I39" s="135">
        <v>700</v>
      </c>
      <c r="J39" s="135">
        <v>700</v>
      </c>
      <c r="K39" s="135">
        <v>700</v>
      </c>
      <c r="L39" s="135">
        <v>700</v>
      </c>
    </row>
    <row r="40" spans="1:12" ht="15" hidden="1">
      <c r="A40" s="91"/>
      <c r="B40" s="91">
        <v>3419</v>
      </c>
      <c r="C40" s="91">
        <v>2229</v>
      </c>
      <c r="D40" s="91" t="s">
        <v>251</v>
      </c>
      <c r="E40" s="135"/>
      <c r="F40" s="135"/>
      <c r="G40" s="135"/>
      <c r="H40" s="134" t="e">
        <f t="shared" si="0"/>
        <v>#DIV/0!</v>
      </c>
      <c r="I40" s="135"/>
      <c r="J40" s="135"/>
      <c r="K40" s="135"/>
      <c r="L40" s="135"/>
    </row>
    <row r="41" spans="1:12" ht="15">
      <c r="A41" s="91"/>
      <c r="B41" s="91">
        <v>3421</v>
      </c>
      <c r="C41" s="91">
        <v>2132</v>
      </c>
      <c r="D41" s="91" t="s">
        <v>252</v>
      </c>
      <c r="E41" s="135">
        <v>50</v>
      </c>
      <c r="F41" s="135">
        <v>50</v>
      </c>
      <c r="G41" s="135">
        <v>65</v>
      </c>
      <c r="H41" s="134">
        <f t="shared" si="0"/>
        <v>130</v>
      </c>
      <c r="I41" s="135">
        <v>65</v>
      </c>
      <c r="J41" s="135">
        <v>65</v>
      </c>
      <c r="K41" s="135">
        <v>65</v>
      </c>
      <c r="L41" s="135">
        <v>65</v>
      </c>
    </row>
    <row r="42" spans="1:12" ht="15">
      <c r="A42" s="91"/>
      <c r="B42" s="91">
        <v>3421</v>
      </c>
      <c r="C42" s="91">
        <v>2229</v>
      </c>
      <c r="D42" s="91" t="s">
        <v>253</v>
      </c>
      <c r="E42" s="135">
        <v>0</v>
      </c>
      <c r="F42" s="135">
        <v>0</v>
      </c>
      <c r="G42" s="135">
        <v>5.2</v>
      </c>
      <c r="H42" s="134" t="e">
        <f t="shared" si="0"/>
        <v>#DIV/0!</v>
      </c>
      <c r="I42" s="135">
        <v>5</v>
      </c>
      <c r="J42" s="135">
        <v>5</v>
      </c>
      <c r="K42" s="135">
        <v>5</v>
      </c>
      <c r="L42" s="135">
        <v>5</v>
      </c>
    </row>
    <row r="43" spans="1:12" ht="15" hidden="1">
      <c r="A43" s="91"/>
      <c r="B43" s="91">
        <v>3421</v>
      </c>
      <c r="C43" s="91">
        <v>2324</v>
      </c>
      <c r="D43" s="91" t="s">
        <v>254</v>
      </c>
      <c r="E43" s="135">
        <v>0</v>
      </c>
      <c r="F43" s="135">
        <v>0</v>
      </c>
      <c r="G43" s="135">
        <v>0</v>
      </c>
      <c r="H43" s="134" t="e">
        <f t="shared" si="0"/>
        <v>#DIV/0!</v>
      </c>
      <c r="I43" s="135">
        <v>0</v>
      </c>
      <c r="J43" s="135">
        <v>0</v>
      </c>
      <c r="K43" s="135">
        <v>0</v>
      </c>
      <c r="L43" s="135">
        <v>0</v>
      </c>
    </row>
    <row r="44" spans="1:12" ht="15.75" thickBot="1">
      <c r="A44" s="91"/>
      <c r="B44" s="91">
        <v>3429</v>
      </c>
      <c r="C44" s="91">
        <v>2229</v>
      </c>
      <c r="D44" s="91" t="s">
        <v>255</v>
      </c>
      <c r="E44" s="135">
        <v>0</v>
      </c>
      <c r="F44" s="135">
        <v>0</v>
      </c>
      <c r="G44" s="135">
        <v>10.5</v>
      </c>
      <c r="H44" s="134" t="e">
        <f t="shared" si="0"/>
        <v>#DIV/0!</v>
      </c>
      <c r="I44" s="135">
        <v>11</v>
      </c>
      <c r="J44" s="135">
        <v>10</v>
      </c>
      <c r="K44" s="135">
        <v>10</v>
      </c>
      <c r="L44" s="135">
        <v>10</v>
      </c>
    </row>
    <row r="45" spans="1:12" ht="15" hidden="1">
      <c r="A45" s="91"/>
      <c r="B45" s="91">
        <v>6223</v>
      </c>
      <c r="C45" s="91">
        <v>2324</v>
      </c>
      <c r="D45" s="91" t="s">
        <v>256</v>
      </c>
      <c r="E45" s="135">
        <v>0</v>
      </c>
      <c r="F45" s="135">
        <v>0</v>
      </c>
      <c r="G45" s="135"/>
      <c r="H45" s="134" t="e">
        <f t="shared" si="0"/>
        <v>#DIV/0!</v>
      </c>
      <c r="I45" s="135"/>
      <c r="J45" s="135"/>
      <c r="K45" s="135"/>
      <c r="L45" s="135"/>
    </row>
    <row r="46" spans="1:12" ht="15" customHeight="1" hidden="1" thickBot="1">
      <c r="A46" s="91"/>
      <c r="B46" s="91">
        <v>6409</v>
      </c>
      <c r="C46" s="91">
        <v>2328</v>
      </c>
      <c r="D46" s="91" t="s">
        <v>257</v>
      </c>
      <c r="E46" s="135">
        <v>0</v>
      </c>
      <c r="F46" s="135">
        <v>0</v>
      </c>
      <c r="G46" s="135">
        <v>0.3</v>
      </c>
      <c r="H46" s="134" t="e">
        <f t="shared" si="0"/>
        <v>#DIV/0!</v>
      </c>
      <c r="I46" s="135">
        <v>0</v>
      </c>
      <c r="J46" s="135">
        <v>0</v>
      </c>
      <c r="K46" s="135">
        <v>0</v>
      </c>
      <c r="L46" s="135">
        <v>0</v>
      </c>
    </row>
    <row r="47" spans="1:12" s="77" customFormat="1" ht="21.75" customHeight="1" thickBot="1" thickTop="1">
      <c r="A47" s="92"/>
      <c r="B47" s="92"/>
      <c r="C47" s="92"/>
      <c r="D47" s="93" t="s">
        <v>258</v>
      </c>
      <c r="E47" s="143">
        <f>SUM(E11:E46)</f>
        <v>4000</v>
      </c>
      <c r="F47" s="143">
        <f>SUM(F11:F46)</f>
        <v>4111</v>
      </c>
      <c r="G47" s="143">
        <f>SUM(G11:G46)</f>
        <v>3125.0000000000005</v>
      </c>
      <c r="H47" s="143">
        <f t="shared" si="0"/>
        <v>76.01556798832402</v>
      </c>
      <c r="I47" s="143">
        <f>SUM(I11:I46)</f>
        <v>4451</v>
      </c>
      <c r="J47" s="143">
        <f>SUM(J11:J46)</f>
        <v>4100</v>
      </c>
      <c r="K47" s="143">
        <f>SUM(K11:K46)</f>
        <v>4085</v>
      </c>
      <c r="L47" s="143">
        <f>SUM(L11:L46)</f>
        <v>4085</v>
      </c>
    </row>
    <row r="48" spans="1:12" ht="15" customHeight="1">
      <c r="A48" s="77"/>
      <c r="B48" s="77"/>
      <c r="C48" s="77"/>
      <c r="D48" s="77"/>
      <c r="E48" s="79"/>
      <c r="F48" s="79"/>
      <c r="G48" s="79"/>
      <c r="H48" s="79"/>
      <c r="I48" s="79"/>
      <c r="J48" s="79"/>
      <c r="K48" s="79"/>
      <c r="L48" s="79"/>
    </row>
    <row r="49" spans="1:12" ht="15" customHeight="1">
      <c r="A49" s="77"/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</row>
    <row r="50" spans="1:12" ht="15" customHeight="1" thickBot="1">
      <c r="A50" s="77"/>
      <c r="B50" s="77"/>
      <c r="C50" s="77"/>
      <c r="D50" s="77"/>
      <c r="E50" s="79"/>
      <c r="F50" s="79"/>
      <c r="G50" s="79"/>
      <c r="H50" s="79"/>
      <c r="I50" s="79"/>
      <c r="J50" s="79"/>
      <c r="K50" s="79"/>
      <c r="L50" s="79"/>
    </row>
    <row r="51" spans="1:12" ht="18">
      <c r="A51" s="160" t="s">
        <v>2</v>
      </c>
      <c r="B51" s="160" t="s">
        <v>3</v>
      </c>
      <c r="C51" s="160" t="s">
        <v>219</v>
      </c>
      <c r="D51" s="209" t="s">
        <v>484</v>
      </c>
      <c r="E51" s="162" t="s">
        <v>489</v>
      </c>
      <c r="F51" s="162" t="s">
        <v>490</v>
      </c>
      <c r="G51" s="162" t="s">
        <v>6</v>
      </c>
      <c r="H51" s="162" t="s">
        <v>220</v>
      </c>
      <c r="I51" s="162" t="s">
        <v>458</v>
      </c>
      <c r="J51" s="162" t="s">
        <v>5</v>
      </c>
      <c r="K51" s="162" t="s">
        <v>5</v>
      </c>
      <c r="L51" s="162" t="s">
        <v>5</v>
      </c>
    </row>
    <row r="52" spans="1:12" ht="15.75" customHeight="1" thickBot="1">
      <c r="A52" s="163"/>
      <c r="B52" s="163"/>
      <c r="C52" s="163"/>
      <c r="D52" s="164"/>
      <c r="E52" s="166">
        <v>2010</v>
      </c>
      <c r="F52" s="166">
        <v>2010</v>
      </c>
      <c r="G52" s="166" t="s">
        <v>22</v>
      </c>
      <c r="H52" s="165" t="s">
        <v>221</v>
      </c>
      <c r="I52" s="166">
        <v>2010</v>
      </c>
      <c r="J52" s="166">
        <v>2011</v>
      </c>
      <c r="K52" s="166">
        <v>2012</v>
      </c>
      <c r="L52" s="166" t="s">
        <v>459</v>
      </c>
    </row>
    <row r="53" spans="1:12" ht="15.75" customHeight="1" thickTop="1">
      <c r="A53" s="94">
        <v>20</v>
      </c>
      <c r="B53" s="88"/>
      <c r="C53" s="88"/>
      <c r="D53" s="89" t="s">
        <v>259</v>
      </c>
      <c r="E53" s="146"/>
      <c r="F53" s="146"/>
      <c r="G53" s="146"/>
      <c r="H53" s="146"/>
      <c r="I53" s="146"/>
      <c r="J53" s="146"/>
      <c r="K53" s="146"/>
      <c r="L53" s="146"/>
    </row>
    <row r="54" spans="1:12" ht="15.75" customHeight="1">
      <c r="A54" s="94"/>
      <c r="B54" s="88"/>
      <c r="C54" s="88"/>
      <c r="D54" s="89"/>
      <c r="E54" s="146"/>
      <c r="F54" s="146"/>
      <c r="G54" s="146"/>
      <c r="H54" s="146"/>
      <c r="I54" s="146"/>
      <c r="J54" s="146"/>
      <c r="K54" s="146"/>
      <c r="L54" s="146"/>
    </row>
    <row r="55" spans="1:12" ht="15.75">
      <c r="A55" s="95"/>
      <c r="B55" s="88"/>
      <c r="C55" s="96">
        <v>4122</v>
      </c>
      <c r="D55" s="97" t="s">
        <v>260</v>
      </c>
      <c r="E55" s="134">
        <v>0</v>
      </c>
      <c r="F55" s="134">
        <v>0</v>
      </c>
      <c r="G55" s="135">
        <v>24</v>
      </c>
      <c r="H55" s="134" t="e">
        <f aca="true" t="shared" si="1" ref="H55:H72">(G55/F55)*100</f>
        <v>#DIV/0!</v>
      </c>
      <c r="I55" s="134">
        <v>24</v>
      </c>
      <c r="J55" s="134">
        <v>0</v>
      </c>
      <c r="K55" s="134">
        <v>0</v>
      </c>
      <c r="L55" s="134">
        <v>0</v>
      </c>
    </row>
    <row r="56" spans="1:12" ht="15.75" customHeight="1">
      <c r="A56" s="94"/>
      <c r="B56" s="88"/>
      <c r="C56" s="98">
        <v>4213</v>
      </c>
      <c r="D56" s="38" t="s">
        <v>261</v>
      </c>
      <c r="E56" s="146">
        <v>0</v>
      </c>
      <c r="F56" s="146">
        <v>603.7</v>
      </c>
      <c r="G56" s="135">
        <v>603.7</v>
      </c>
      <c r="H56" s="134">
        <f t="shared" si="1"/>
        <v>100</v>
      </c>
      <c r="I56" s="146">
        <v>603.7</v>
      </c>
      <c r="J56" s="146">
        <v>0</v>
      </c>
      <c r="K56" s="146">
        <v>0</v>
      </c>
      <c r="L56" s="146">
        <v>0</v>
      </c>
    </row>
    <row r="57" spans="1:12" ht="15.75" customHeight="1">
      <c r="A57" s="94"/>
      <c r="B57" s="88"/>
      <c r="C57" s="98">
        <v>4213</v>
      </c>
      <c r="D57" s="38" t="s">
        <v>262</v>
      </c>
      <c r="E57" s="146">
        <v>0</v>
      </c>
      <c r="F57" s="146">
        <v>57.9</v>
      </c>
      <c r="G57" s="135">
        <v>57.9</v>
      </c>
      <c r="H57" s="134">
        <f t="shared" si="1"/>
        <v>100</v>
      </c>
      <c r="I57" s="146">
        <v>57.9</v>
      </c>
      <c r="J57" s="146">
        <v>0</v>
      </c>
      <c r="K57" s="146">
        <v>0</v>
      </c>
      <c r="L57" s="146">
        <v>0</v>
      </c>
    </row>
    <row r="58" spans="1:12" ht="15.75" customHeight="1">
      <c r="A58" s="94"/>
      <c r="B58" s="88"/>
      <c r="C58" s="98">
        <v>4213</v>
      </c>
      <c r="D58" s="38" t="s">
        <v>469</v>
      </c>
      <c r="E58" s="146">
        <v>0</v>
      </c>
      <c r="F58" s="146">
        <v>0</v>
      </c>
      <c r="G58" s="135">
        <v>0</v>
      </c>
      <c r="H58" s="134"/>
      <c r="I58" s="146">
        <v>0</v>
      </c>
      <c r="J58" s="146">
        <v>7105.391</v>
      </c>
      <c r="K58" s="146">
        <v>0</v>
      </c>
      <c r="L58" s="146">
        <v>0</v>
      </c>
    </row>
    <row r="59" spans="1:12" ht="15.75" customHeight="1">
      <c r="A59" s="94"/>
      <c r="B59" s="88"/>
      <c r="C59" s="98">
        <v>4213</v>
      </c>
      <c r="D59" s="38" t="s">
        <v>470</v>
      </c>
      <c r="E59" s="146">
        <v>0</v>
      </c>
      <c r="F59" s="146">
        <v>0</v>
      </c>
      <c r="G59" s="135">
        <v>0</v>
      </c>
      <c r="H59" s="134"/>
      <c r="I59" s="146">
        <v>0</v>
      </c>
      <c r="J59" s="146">
        <v>8263.09</v>
      </c>
      <c r="K59" s="146">
        <v>0</v>
      </c>
      <c r="L59" s="146">
        <v>0</v>
      </c>
    </row>
    <row r="60" spans="1:12" ht="15.75" customHeight="1">
      <c r="A60" s="94"/>
      <c r="B60" s="88"/>
      <c r="C60" s="98">
        <v>4213</v>
      </c>
      <c r="D60" s="38" t="s">
        <v>471</v>
      </c>
      <c r="E60" s="146">
        <v>0</v>
      </c>
      <c r="F60" s="146">
        <v>0</v>
      </c>
      <c r="G60" s="135">
        <v>0</v>
      </c>
      <c r="H60" s="134"/>
      <c r="I60" s="146">
        <v>1691</v>
      </c>
      <c r="J60" s="146">
        <v>0</v>
      </c>
      <c r="K60" s="146">
        <v>0</v>
      </c>
      <c r="L60" s="146">
        <v>0</v>
      </c>
    </row>
    <row r="61" spans="1:12" ht="15.75" customHeight="1">
      <c r="A61" s="94"/>
      <c r="B61" s="88"/>
      <c r="C61" s="98">
        <v>4213</v>
      </c>
      <c r="D61" s="38" t="s">
        <v>472</v>
      </c>
      <c r="E61" s="146">
        <v>0</v>
      </c>
      <c r="F61" s="146">
        <v>0</v>
      </c>
      <c r="G61" s="135">
        <v>0</v>
      </c>
      <c r="H61" s="134"/>
      <c r="I61" s="146">
        <v>787</v>
      </c>
      <c r="J61" s="146">
        <v>0</v>
      </c>
      <c r="K61" s="146">
        <v>0</v>
      </c>
      <c r="L61" s="146">
        <v>0</v>
      </c>
    </row>
    <row r="62" spans="1:12" ht="15.75">
      <c r="A62" s="95">
        <v>10002</v>
      </c>
      <c r="B62" s="88"/>
      <c r="C62" s="96">
        <v>4216</v>
      </c>
      <c r="D62" s="97" t="s">
        <v>263</v>
      </c>
      <c r="E62" s="134">
        <v>6800</v>
      </c>
      <c r="F62" s="134">
        <v>0</v>
      </c>
      <c r="G62" s="135">
        <v>0</v>
      </c>
      <c r="H62" s="134" t="e">
        <f t="shared" si="1"/>
        <v>#DIV/0!</v>
      </c>
      <c r="I62" s="134">
        <v>2368.9</v>
      </c>
      <c r="J62" s="134">
        <v>4431.1</v>
      </c>
      <c r="K62" s="134">
        <v>0</v>
      </c>
      <c r="L62" s="134">
        <v>0</v>
      </c>
    </row>
    <row r="63" spans="1:12" ht="15.75">
      <c r="A63" s="95">
        <v>71005</v>
      </c>
      <c r="B63" s="88"/>
      <c r="C63" s="96">
        <v>4216</v>
      </c>
      <c r="D63" s="97" t="s">
        <v>264</v>
      </c>
      <c r="E63" s="134">
        <v>0</v>
      </c>
      <c r="F63" s="134">
        <v>10263</v>
      </c>
      <c r="G63" s="135">
        <v>10263.1</v>
      </c>
      <c r="H63" s="134">
        <f t="shared" si="1"/>
        <v>100.00097437396474</v>
      </c>
      <c r="I63" s="134">
        <v>10263.1</v>
      </c>
      <c r="J63" s="134">
        <v>0</v>
      </c>
      <c r="K63" s="134">
        <v>0</v>
      </c>
      <c r="L63" s="134">
        <v>0</v>
      </c>
    </row>
    <row r="64" spans="1:12" ht="15.75">
      <c r="A64" s="95">
        <v>71023</v>
      </c>
      <c r="B64" s="88"/>
      <c r="C64" s="96">
        <v>4216</v>
      </c>
      <c r="D64" s="97" t="s">
        <v>265</v>
      </c>
      <c r="E64" s="134">
        <v>0</v>
      </c>
      <c r="F64" s="134">
        <v>983.8</v>
      </c>
      <c r="G64" s="135">
        <v>983.7</v>
      </c>
      <c r="H64" s="134">
        <f t="shared" si="1"/>
        <v>99.98983533238463</v>
      </c>
      <c r="I64" s="134">
        <v>983.8</v>
      </c>
      <c r="J64" s="134">
        <v>0</v>
      </c>
      <c r="K64" s="134">
        <v>0</v>
      </c>
      <c r="L64" s="134">
        <v>0</v>
      </c>
    </row>
    <row r="65" spans="1:12" ht="15.75">
      <c r="A65" s="95">
        <v>91016</v>
      </c>
      <c r="B65" s="88"/>
      <c r="C65" s="96">
        <v>4216</v>
      </c>
      <c r="D65" s="97" t="s">
        <v>266</v>
      </c>
      <c r="E65" s="134">
        <v>0</v>
      </c>
      <c r="F65" s="134">
        <v>850</v>
      </c>
      <c r="G65" s="135">
        <v>850</v>
      </c>
      <c r="H65" s="134">
        <f t="shared" si="1"/>
        <v>100</v>
      </c>
      <c r="I65" s="134">
        <v>850</v>
      </c>
      <c r="J65" s="134">
        <v>0</v>
      </c>
      <c r="K65" s="134">
        <v>0</v>
      </c>
      <c r="L65" s="134">
        <v>0</v>
      </c>
    </row>
    <row r="66" spans="1:12" ht="15">
      <c r="A66" s="99">
        <v>71009</v>
      </c>
      <c r="B66" s="100"/>
      <c r="C66" s="96">
        <v>4223</v>
      </c>
      <c r="D66" s="101" t="s">
        <v>267</v>
      </c>
      <c r="E66" s="134">
        <v>26586</v>
      </c>
      <c r="F66" s="134">
        <v>26586</v>
      </c>
      <c r="G66" s="135">
        <v>11871.5</v>
      </c>
      <c r="H66" s="134">
        <f t="shared" si="1"/>
        <v>44.65320093282178</v>
      </c>
      <c r="I66" s="134">
        <v>26586</v>
      </c>
      <c r="J66" s="134">
        <v>0</v>
      </c>
      <c r="K66" s="134">
        <v>0</v>
      </c>
      <c r="L66" s="134">
        <v>0</v>
      </c>
    </row>
    <row r="67" spans="1:12" ht="15">
      <c r="A67" s="102">
        <v>71009</v>
      </c>
      <c r="B67" s="103"/>
      <c r="C67" s="104">
        <v>4223</v>
      </c>
      <c r="D67" s="101" t="s">
        <v>268</v>
      </c>
      <c r="E67" s="135">
        <v>2348</v>
      </c>
      <c r="F67" s="135">
        <v>2348</v>
      </c>
      <c r="G67" s="135">
        <v>1048.3</v>
      </c>
      <c r="H67" s="134">
        <f t="shared" si="1"/>
        <v>44.646507666098806</v>
      </c>
      <c r="I67" s="135">
        <v>2348.3</v>
      </c>
      <c r="J67" s="135">
        <v>0</v>
      </c>
      <c r="K67" s="135">
        <v>0</v>
      </c>
      <c r="L67" s="135">
        <v>0</v>
      </c>
    </row>
    <row r="68" spans="1:12" ht="15">
      <c r="A68" s="102"/>
      <c r="B68" s="103">
        <v>3322</v>
      </c>
      <c r="C68" s="105">
        <v>2324</v>
      </c>
      <c r="D68" s="101" t="s">
        <v>269</v>
      </c>
      <c r="E68" s="135">
        <v>0</v>
      </c>
      <c r="F68" s="135">
        <v>0</v>
      </c>
      <c r="G68" s="135">
        <v>69.4</v>
      </c>
      <c r="H68" s="134" t="e">
        <f t="shared" si="1"/>
        <v>#DIV/0!</v>
      </c>
      <c r="I68" s="135">
        <v>69.4</v>
      </c>
      <c r="J68" s="135">
        <v>0</v>
      </c>
      <c r="K68" s="135">
        <v>0</v>
      </c>
      <c r="L68" s="135">
        <v>0</v>
      </c>
    </row>
    <row r="69" spans="1:12" ht="15">
      <c r="A69" s="50"/>
      <c r="B69" s="104">
        <v>3326</v>
      </c>
      <c r="C69" s="48">
        <v>2212</v>
      </c>
      <c r="D69" s="48" t="s">
        <v>270</v>
      </c>
      <c r="E69" s="134">
        <v>0</v>
      </c>
      <c r="F69" s="134">
        <v>0</v>
      </c>
      <c r="G69" s="134">
        <v>35</v>
      </c>
      <c r="H69" s="134" t="e">
        <f t="shared" si="1"/>
        <v>#DIV/0!</v>
      </c>
      <c r="I69" s="134">
        <v>35</v>
      </c>
      <c r="J69" s="134">
        <v>0</v>
      </c>
      <c r="K69" s="134">
        <v>0</v>
      </c>
      <c r="L69" s="134">
        <v>0</v>
      </c>
    </row>
    <row r="70" spans="1:12" ht="15">
      <c r="A70" s="50"/>
      <c r="B70" s="104">
        <v>3326</v>
      </c>
      <c r="C70" s="48">
        <v>2324</v>
      </c>
      <c r="D70" s="48" t="s">
        <v>271</v>
      </c>
      <c r="E70" s="134">
        <v>0</v>
      </c>
      <c r="F70" s="134">
        <v>0</v>
      </c>
      <c r="G70" s="134">
        <v>4</v>
      </c>
      <c r="H70" s="134" t="e">
        <f t="shared" si="1"/>
        <v>#DIV/0!</v>
      </c>
      <c r="I70" s="134">
        <v>4</v>
      </c>
      <c r="J70" s="134">
        <v>0</v>
      </c>
      <c r="K70" s="134">
        <v>0</v>
      </c>
      <c r="L70" s="134">
        <v>0</v>
      </c>
    </row>
    <row r="71" spans="1:12" ht="15">
      <c r="A71" s="50">
        <v>91014</v>
      </c>
      <c r="B71" s="104">
        <v>3326</v>
      </c>
      <c r="C71" s="48">
        <v>3122</v>
      </c>
      <c r="D71" s="101" t="s">
        <v>272</v>
      </c>
      <c r="E71" s="134">
        <v>60</v>
      </c>
      <c r="F71" s="134">
        <v>60</v>
      </c>
      <c r="G71" s="134">
        <v>0</v>
      </c>
      <c r="H71" s="134">
        <f t="shared" si="1"/>
        <v>0</v>
      </c>
      <c r="I71" s="134">
        <v>345.84</v>
      </c>
      <c r="J71" s="134">
        <v>0</v>
      </c>
      <c r="K71" s="134">
        <v>0</v>
      </c>
      <c r="L71" s="134">
        <v>0</v>
      </c>
    </row>
    <row r="72" spans="1:12" ht="15.75" thickBot="1">
      <c r="A72" s="106"/>
      <c r="B72" s="107"/>
      <c r="C72" s="107">
        <v>3129</v>
      </c>
      <c r="D72" s="107" t="s">
        <v>473</v>
      </c>
      <c r="E72" s="147">
        <v>0</v>
      </c>
      <c r="F72" s="147">
        <v>0</v>
      </c>
      <c r="G72" s="147">
        <v>0</v>
      </c>
      <c r="H72" s="147" t="e">
        <f t="shared" si="1"/>
        <v>#DIV/0!</v>
      </c>
      <c r="I72" s="147">
        <v>500</v>
      </c>
      <c r="J72" s="147">
        <v>0</v>
      </c>
      <c r="K72" s="147">
        <v>0</v>
      </c>
      <c r="L72" s="147">
        <v>0</v>
      </c>
    </row>
    <row r="73" spans="1:12" s="77" customFormat="1" ht="21.75" customHeight="1" thickBot="1" thickTop="1">
      <c r="A73" s="108"/>
      <c r="B73" s="92"/>
      <c r="C73" s="92"/>
      <c r="D73" s="93" t="s">
        <v>273</v>
      </c>
      <c r="E73" s="143">
        <f>SUM(E55:E72)</f>
        <v>35794</v>
      </c>
      <c r="F73" s="143">
        <f>SUM(F55:F72)</f>
        <v>41752.4</v>
      </c>
      <c r="G73" s="143">
        <f>SUM(G55:G72)</f>
        <v>25810.600000000002</v>
      </c>
      <c r="H73" s="143">
        <f>(G73/F73)*100</f>
        <v>61.81824278364837</v>
      </c>
      <c r="I73" s="143">
        <f>SUM(I55:I72)</f>
        <v>47517.94</v>
      </c>
      <c r="J73" s="143">
        <f>SUM(J55:J72)</f>
        <v>19799.581</v>
      </c>
      <c r="K73" s="143">
        <f>SUM(K55:K72)</f>
        <v>0</v>
      </c>
      <c r="L73" s="143">
        <f>SUM(L55:L72)</f>
        <v>0</v>
      </c>
    </row>
    <row r="74" spans="1:12" ht="15" customHeight="1">
      <c r="A74" s="109"/>
      <c r="B74" s="109"/>
      <c r="C74" s="109"/>
      <c r="D74" s="84"/>
      <c r="E74" s="169"/>
      <c r="F74" s="169"/>
      <c r="G74" s="170"/>
      <c r="H74" s="170"/>
      <c r="I74" s="169"/>
      <c r="J74" s="169"/>
      <c r="K74" s="169"/>
      <c r="L74" s="169"/>
    </row>
    <row r="75" spans="1:12" ht="15" customHeight="1">
      <c r="A75" s="109"/>
      <c r="B75" s="109"/>
      <c r="C75" s="109"/>
      <c r="D75" s="84"/>
      <c r="E75" s="169"/>
      <c r="F75" s="169"/>
      <c r="G75" s="170"/>
      <c r="H75" s="170"/>
      <c r="I75" s="169"/>
      <c r="J75" s="169"/>
      <c r="K75" s="169"/>
      <c r="L75" s="169"/>
    </row>
    <row r="76" spans="1:12" ht="15" customHeight="1" hidden="1">
      <c r="A76" s="109"/>
      <c r="B76" s="109"/>
      <c r="C76" s="109"/>
      <c r="D76" s="84"/>
      <c r="E76" s="169"/>
      <c r="F76" s="169"/>
      <c r="G76" s="170"/>
      <c r="H76" s="170"/>
      <c r="I76" s="169"/>
      <c r="J76" s="169"/>
      <c r="K76" s="169"/>
      <c r="L76" s="169"/>
    </row>
    <row r="77" spans="1:12" ht="15" customHeight="1" hidden="1">
      <c r="A77" s="109"/>
      <c r="B77" s="109"/>
      <c r="C77" s="109"/>
      <c r="D77" s="84"/>
      <c r="E77" s="169"/>
      <c r="F77" s="169"/>
      <c r="G77" s="170"/>
      <c r="H77" s="170"/>
      <c r="I77" s="169"/>
      <c r="J77" s="169"/>
      <c r="K77" s="169"/>
      <c r="L77" s="169"/>
    </row>
    <row r="78" spans="1:12" ht="15" customHeight="1" hidden="1">
      <c r="A78" s="109"/>
      <c r="B78" s="109"/>
      <c r="C78" s="109"/>
      <c r="D78" s="84"/>
      <c r="E78" s="169"/>
      <c r="F78" s="169"/>
      <c r="G78" s="169"/>
      <c r="H78" s="169"/>
      <c r="I78" s="169"/>
      <c r="J78" s="169"/>
      <c r="K78" s="169"/>
      <c r="L78" s="169"/>
    </row>
    <row r="79" spans="1:12" ht="15" customHeight="1" hidden="1" thickBot="1">
      <c r="A79" s="109"/>
      <c r="B79" s="109"/>
      <c r="C79" s="109"/>
      <c r="D79" s="84"/>
      <c r="E79" s="169"/>
      <c r="F79" s="169"/>
      <c r="G79" s="169"/>
      <c r="H79" s="169"/>
      <c r="I79" s="169"/>
      <c r="J79" s="169"/>
      <c r="K79" s="169"/>
      <c r="L79" s="169"/>
    </row>
    <row r="80" spans="1:12" ht="15" customHeight="1" thickBot="1">
      <c r="A80" s="109"/>
      <c r="B80" s="109"/>
      <c r="C80" s="109"/>
      <c r="D80" s="84"/>
      <c r="E80" s="169"/>
      <c r="F80" s="169"/>
      <c r="G80" s="169"/>
      <c r="H80" s="169"/>
      <c r="I80" s="169"/>
      <c r="J80" s="169"/>
      <c r="K80" s="169"/>
      <c r="L80" s="169"/>
    </row>
    <row r="81" spans="1:12" ht="18">
      <c r="A81" s="160" t="s">
        <v>2</v>
      </c>
      <c r="B81" s="160" t="s">
        <v>3</v>
      </c>
      <c r="C81" s="160" t="s">
        <v>219</v>
      </c>
      <c r="D81" s="209" t="s">
        <v>484</v>
      </c>
      <c r="E81" s="162" t="s">
        <v>489</v>
      </c>
      <c r="F81" s="162" t="s">
        <v>490</v>
      </c>
      <c r="G81" s="162" t="s">
        <v>6</v>
      </c>
      <c r="H81" s="162" t="s">
        <v>220</v>
      </c>
      <c r="I81" s="162" t="s">
        <v>458</v>
      </c>
      <c r="J81" s="162" t="s">
        <v>5</v>
      </c>
      <c r="K81" s="162" t="s">
        <v>5</v>
      </c>
      <c r="L81" s="162" t="s">
        <v>5</v>
      </c>
    </row>
    <row r="82" spans="1:12" ht="16.5" hidden="1" thickBot="1">
      <c r="A82" s="126"/>
      <c r="B82" s="126"/>
      <c r="C82" s="126"/>
      <c r="D82" s="123"/>
      <c r="E82" s="166">
        <v>2010</v>
      </c>
      <c r="F82" s="166">
        <v>2010</v>
      </c>
      <c r="G82" s="166" t="s">
        <v>22</v>
      </c>
      <c r="H82" s="165" t="s">
        <v>221</v>
      </c>
      <c r="I82" s="166">
        <v>2010</v>
      </c>
      <c r="J82" s="166">
        <v>2011</v>
      </c>
      <c r="K82" s="166">
        <v>2012</v>
      </c>
      <c r="L82" s="166" t="s">
        <v>459</v>
      </c>
    </row>
    <row r="83" spans="1:12" ht="15.75" customHeight="1" thickBot="1">
      <c r="A83" s="163"/>
      <c r="B83" s="163"/>
      <c r="C83" s="163"/>
      <c r="D83" s="164"/>
      <c r="E83" s="166">
        <v>2010</v>
      </c>
      <c r="F83" s="166">
        <v>2010</v>
      </c>
      <c r="G83" s="168" t="s">
        <v>22</v>
      </c>
      <c r="H83" s="168" t="s">
        <v>221</v>
      </c>
      <c r="I83" s="168">
        <v>2010</v>
      </c>
      <c r="J83" s="168">
        <v>2011</v>
      </c>
      <c r="K83" s="168">
        <v>2012</v>
      </c>
      <c r="L83" s="168" t="s">
        <v>459</v>
      </c>
    </row>
    <row r="84" spans="1:12" ht="16.5" customHeight="1" thickTop="1">
      <c r="A84" s="94">
        <v>30</v>
      </c>
      <c r="B84" s="88"/>
      <c r="C84" s="88"/>
      <c r="D84" s="89" t="s">
        <v>115</v>
      </c>
      <c r="E84" s="171"/>
      <c r="F84" s="171"/>
      <c r="G84" s="171"/>
      <c r="H84" s="171"/>
      <c r="I84" s="171"/>
      <c r="J84" s="171"/>
      <c r="K84" s="171"/>
      <c r="L84" s="171"/>
    </row>
    <row r="85" spans="1:12" ht="15" customHeight="1">
      <c r="A85" s="58"/>
      <c r="B85" s="56"/>
      <c r="C85" s="56"/>
      <c r="D85" s="56"/>
      <c r="E85" s="134"/>
      <c r="F85" s="134"/>
      <c r="G85" s="134"/>
      <c r="H85" s="134"/>
      <c r="I85" s="134"/>
      <c r="J85" s="134"/>
      <c r="K85" s="134"/>
      <c r="L85" s="134"/>
    </row>
    <row r="86" spans="1:12" ht="15" customHeight="1">
      <c r="A86" s="58"/>
      <c r="B86" s="56"/>
      <c r="C86" s="21">
        <v>1342</v>
      </c>
      <c r="D86" s="21" t="s">
        <v>274</v>
      </c>
      <c r="E86" s="146">
        <v>50</v>
      </c>
      <c r="F86" s="146">
        <v>50</v>
      </c>
      <c r="G86" s="146">
        <v>14.1</v>
      </c>
      <c r="H86" s="134">
        <f aca="true" t="shared" si="2" ref="H86:H132">(G86/F86)*100</f>
        <v>28.199999999999996</v>
      </c>
      <c r="I86" s="204">
        <v>30</v>
      </c>
      <c r="J86" s="204">
        <v>50</v>
      </c>
      <c r="K86" s="204">
        <v>50</v>
      </c>
      <c r="L86" s="204">
        <v>50</v>
      </c>
    </row>
    <row r="87" spans="1:12" ht="15">
      <c r="A87" s="35"/>
      <c r="B87" s="21"/>
      <c r="C87" s="21">
        <v>1343</v>
      </c>
      <c r="D87" s="21" t="s">
        <v>275</v>
      </c>
      <c r="E87" s="146">
        <v>1500</v>
      </c>
      <c r="F87" s="146">
        <v>1500</v>
      </c>
      <c r="G87" s="146">
        <v>680.5</v>
      </c>
      <c r="H87" s="134">
        <f t="shared" si="2"/>
        <v>45.36666666666667</v>
      </c>
      <c r="I87" s="204">
        <v>800</v>
      </c>
      <c r="J87" s="204">
        <v>1000</v>
      </c>
      <c r="K87" s="204">
        <v>1000</v>
      </c>
      <c r="L87" s="204">
        <v>1000</v>
      </c>
    </row>
    <row r="88" spans="1:12" ht="15">
      <c r="A88" s="50"/>
      <c r="B88" s="48"/>
      <c r="C88" s="48">
        <v>1345</v>
      </c>
      <c r="D88" s="48" t="s">
        <v>276</v>
      </c>
      <c r="E88" s="172">
        <v>90</v>
      </c>
      <c r="F88" s="172">
        <v>90</v>
      </c>
      <c r="G88" s="172">
        <v>135.5</v>
      </c>
      <c r="H88" s="134">
        <f t="shared" si="2"/>
        <v>150.55555555555554</v>
      </c>
      <c r="I88" s="205">
        <v>170</v>
      </c>
      <c r="J88" s="205">
        <v>150</v>
      </c>
      <c r="K88" s="205">
        <v>150</v>
      </c>
      <c r="L88" s="205">
        <v>150</v>
      </c>
    </row>
    <row r="89" spans="1:12" ht="15">
      <c r="A89" s="50"/>
      <c r="B89" s="48"/>
      <c r="C89" s="48">
        <v>1361</v>
      </c>
      <c r="D89" s="48" t="s">
        <v>224</v>
      </c>
      <c r="E89" s="172">
        <v>60</v>
      </c>
      <c r="F89" s="172">
        <v>60</v>
      </c>
      <c r="G89" s="172">
        <v>47.3</v>
      </c>
      <c r="H89" s="134">
        <f t="shared" si="2"/>
        <v>78.83333333333333</v>
      </c>
      <c r="I89" s="172">
        <v>60</v>
      </c>
      <c r="J89" s="172">
        <v>60</v>
      </c>
      <c r="K89" s="172">
        <v>60</v>
      </c>
      <c r="L89" s="172">
        <v>60</v>
      </c>
    </row>
    <row r="90" spans="1:12" ht="15" hidden="1">
      <c r="A90" s="50"/>
      <c r="B90" s="48"/>
      <c r="C90" s="48">
        <v>2460</v>
      </c>
      <c r="D90" s="48" t="s">
        <v>277</v>
      </c>
      <c r="E90" s="172"/>
      <c r="F90" s="172"/>
      <c r="G90" s="172"/>
      <c r="H90" s="134" t="e">
        <f t="shared" si="2"/>
        <v>#DIV/0!</v>
      </c>
      <c r="I90" s="172"/>
      <c r="J90" s="172"/>
      <c r="K90" s="172"/>
      <c r="L90" s="172"/>
    </row>
    <row r="91" spans="1:12" ht="15" customHeight="1">
      <c r="A91" s="50">
        <v>98071</v>
      </c>
      <c r="B91" s="48"/>
      <c r="C91" s="48">
        <v>4111</v>
      </c>
      <c r="D91" s="48" t="s">
        <v>278</v>
      </c>
      <c r="E91" s="172">
        <v>0</v>
      </c>
      <c r="F91" s="172">
        <v>482</v>
      </c>
      <c r="G91" s="172">
        <v>482</v>
      </c>
      <c r="H91" s="134">
        <f t="shared" si="2"/>
        <v>100</v>
      </c>
      <c r="I91" s="172">
        <v>482</v>
      </c>
      <c r="J91" s="172">
        <v>0</v>
      </c>
      <c r="K91" s="172">
        <v>0</v>
      </c>
      <c r="L91" s="172">
        <v>0</v>
      </c>
    </row>
    <row r="92" spans="1:12" ht="15" customHeight="1">
      <c r="A92" s="50">
        <v>98116</v>
      </c>
      <c r="B92" s="48"/>
      <c r="C92" s="48">
        <v>4111</v>
      </c>
      <c r="D92" s="48" t="s">
        <v>279</v>
      </c>
      <c r="E92" s="172">
        <v>0</v>
      </c>
      <c r="F92" s="172">
        <v>1111.5</v>
      </c>
      <c r="G92" s="172">
        <v>1111.5</v>
      </c>
      <c r="H92" s="134">
        <f t="shared" si="2"/>
        <v>100</v>
      </c>
      <c r="I92" s="172">
        <v>1111.5</v>
      </c>
      <c r="J92" s="172">
        <v>0</v>
      </c>
      <c r="K92" s="172">
        <v>0</v>
      </c>
      <c r="L92" s="172">
        <v>0</v>
      </c>
    </row>
    <row r="93" spans="1:12" ht="15" customHeight="1">
      <c r="A93" s="50">
        <v>98216</v>
      </c>
      <c r="B93" s="48"/>
      <c r="C93" s="48">
        <v>4111</v>
      </c>
      <c r="D93" s="48" t="s">
        <v>280</v>
      </c>
      <c r="E93" s="172">
        <v>0</v>
      </c>
      <c r="F93" s="172">
        <v>3554.1</v>
      </c>
      <c r="G93" s="172">
        <v>3554.1</v>
      </c>
      <c r="H93" s="134">
        <f t="shared" si="2"/>
        <v>100</v>
      </c>
      <c r="I93" s="172">
        <v>3554.1</v>
      </c>
      <c r="J93" s="172">
        <v>0</v>
      </c>
      <c r="K93" s="172">
        <v>0</v>
      </c>
      <c r="L93" s="172">
        <v>0</v>
      </c>
    </row>
    <row r="94" spans="1:12" ht="14.25" customHeight="1">
      <c r="A94" s="50"/>
      <c r="B94" s="48"/>
      <c r="C94" s="48">
        <v>4116</v>
      </c>
      <c r="D94" s="48" t="s">
        <v>281</v>
      </c>
      <c r="E94" s="172">
        <v>0</v>
      </c>
      <c r="F94" s="172">
        <v>2017.5</v>
      </c>
      <c r="G94" s="172">
        <v>1497.2</v>
      </c>
      <c r="H94" s="134">
        <f t="shared" si="2"/>
        <v>74.21065675340769</v>
      </c>
      <c r="I94" s="172">
        <v>1497.2</v>
      </c>
      <c r="J94" s="172">
        <v>0</v>
      </c>
      <c r="K94" s="172">
        <v>0</v>
      </c>
      <c r="L94" s="172">
        <v>0</v>
      </c>
    </row>
    <row r="95" spans="1:12" ht="15" customHeight="1">
      <c r="A95" s="50"/>
      <c r="B95" s="48"/>
      <c r="C95" s="48">
        <v>4121</v>
      </c>
      <c r="D95" s="48" t="s">
        <v>282</v>
      </c>
      <c r="E95" s="172">
        <v>0</v>
      </c>
      <c r="F95" s="172">
        <v>70</v>
      </c>
      <c r="G95" s="172">
        <v>120</v>
      </c>
      <c r="H95" s="134">
        <f t="shared" si="2"/>
        <v>171.42857142857142</v>
      </c>
      <c r="I95" s="172">
        <v>170</v>
      </c>
      <c r="J95" s="172">
        <v>0</v>
      </c>
      <c r="K95" s="172">
        <v>0</v>
      </c>
      <c r="L95" s="172">
        <v>0</v>
      </c>
    </row>
    <row r="96" spans="1:12" ht="15" customHeight="1" hidden="1">
      <c r="A96" s="50"/>
      <c r="B96" s="48"/>
      <c r="C96" s="48">
        <v>4122</v>
      </c>
      <c r="D96" s="48" t="s">
        <v>283</v>
      </c>
      <c r="E96" s="172">
        <v>0</v>
      </c>
      <c r="F96" s="172">
        <v>0</v>
      </c>
      <c r="G96" s="172"/>
      <c r="H96" s="134" t="e">
        <f t="shared" si="2"/>
        <v>#DIV/0!</v>
      </c>
      <c r="I96" s="172"/>
      <c r="J96" s="172"/>
      <c r="K96" s="172"/>
      <c r="L96" s="172"/>
    </row>
    <row r="97" spans="1:12" ht="15">
      <c r="A97" s="50"/>
      <c r="B97" s="48"/>
      <c r="C97" s="48">
        <v>4132</v>
      </c>
      <c r="D97" s="48" t="s">
        <v>284</v>
      </c>
      <c r="E97" s="172">
        <v>0</v>
      </c>
      <c r="F97" s="172">
        <v>1485</v>
      </c>
      <c r="G97" s="172">
        <v>1485.2</v>
      </c>
      <c r="H97" s="134">
        <f t="shared" si="2"/>
        <v>100.01346801346801</v>
      </c>
      <c r="I97" s="172">
        <v>1485.2</v>
      </c>
      <c r="J97" s="172">
        <v>0</v>
      </c>
      <c r="K97" s="172">
        <v>0</v>
      </c>
      <c r="L97" s="172">
        <v>0</v>
      </c>
    </row>
    <row r="98" spans="1:12" ht="15" hidden="1">
      <c r="A98" s="50"/>
      <c r="B98" s="48"/>
      <c r="C98" s="48">
        <v>4222</v>
      </c>
      <c r="D98" s="48" t="s">
        <v>285</v>
      </c>
      <c r="E98" s="172">
        <v>0</v>
      </c>
      <c r="F98" s="172">
        <v>0</v>
      </c>
      <c r="G98" s="172"/>
      <c r="H98" s="134" t="e">
        <f t="shared" si="2"/>
        <v>#DIV/0!</v>
      </c>
      <c r="I98" s="172"/>
      <c r="J98" s="172"/>
      <c r="K98" s="172"/>
      <c r="L98" s="172"/>
    </row>
    <row r="99" spans="1:12" ht="15">
      <c r="A99" s="50"/>
      <c r="B99" s="48">
        <v>2212</v>
      </c>
      <c r="C99" s="48">
        <v>2322</v>
      </c>
      <c r="D99" s="48" t="s">
        <v>286</v>
      </c>
      <c r="E99" s="172">
        <v>0</v>
      </c>
      <c r="F99" s="172">
        <v>0</v>
      </c>
      <c r="G99" s="172">
        <v>2.7</v>
      </c>
      <c r="H99" s="134" t="e">
        <f t="shared" si="2"/>
        <v>#DIV/0!</v>
      </c>
      <c r="I99" s="172">
        <v>2.7</v>
      </c>
      <c r="J99" s="172">
        <v>0</v>
      </c>
      <c r="K99" s="172">
        <v>0</v>
      </c>
      <c r="L99" s="172">
        <v>0</v>
      </c>
    </row>
    <row r="100" spans="1:12" ht="15" hidden="1">
      <c r="A100" s="50"/>
      <c r="B100" s="48">
        <v>2212</v>
      </c>
      <c r="C100" s="48">
        <v>2324</v>
      </c>
      <c r="D100" s="48" t="s">
        <v>287</v>
      </c>
      <c r="E100" s="172">
        <v>0</v>
      </c>
      <c r="F100" s="172">
        <v>0</v>
      </c>
      <c r="G100" s="172"/>
      <c r="H100" s="134" t="e">
        <f t="shared" si="2"/>
        <v>#DIV/0!</v>
      </c>
      <c r="I100" s="172"/>
      <c r="J100" s="172"/>
      <c r="K100" s="172"/>
      <c r="L100" s="172"/>
    </row>
    <row r="101" spans="1:12" ht="15" hidden="1">
      <c r="A101" s="50"/>
      <c r="B101" s="48">
        <v>2219</v>
      </c>
      <c r="C101" s="48">
        <v>2131</v>
      </c>
      <c r="D101" s="48" t="s">
        <v>288</v>
      </c>
      <c r="E101" s="172">
        <v>0</v>
      </c>
      <c r="F101" s="172">
        <v>0</v>
      </c>
      <c r="G101" s="172"/>
      <c r="H101" s="134" t="e">
        <f t="shared" si="2"/>
        <v>#DIV/0!</v>
      </c>
      <c r="I101" s="172"/>
      <c r="J101" s="172"/>
      <c r="K101" s="172"/>
      <c r="L101" s="172"/>
    </row>
    <row r="102" spans="1:12" ht="15">
      <c r="A102" s="50"/>
      <c r="B102" s="48">
        <v>2212</v>
      </c>
      <c r="C102" s="48">
        <v>3113</v>
      </c>
      <c r="D102" s="48" t="s">
        <v>289</v>
      </c>
      <c r="E102" s="172">
        <v>0</v>
      </c>
      <c r="F102" s="172">
        <v>0</v>
      </c>
      <c r="G102" s="172">
        <v>104.1</v>
      </c>
      <c r="H102" s="134" t="e">
        <f t="shared" si="2"/>
        <v>#DIV/0!</v>
      </c>
      <c r="I102" s="172">
        <v>104.1</v>
      </c>
      <c r="J102" s="172">
        <v>0</v>
      </c>
      <c r="K102" s="172">
        <v>0</v>
      </c>
      <c r="L102" s="172">
        <v>0</v>
      </c>
    </row>
    <row r="103" spans="1:12" ht="15">
      <c r="A103" s="50"/>
      <c r="B103" s="48">
        <v>2219</v>
      </c>
      <c r="C103" s="48">
        <v>2131</v>
      </c>
      <c r="D103" s="48" t="s">
        <v>290</v>
      </c>
      <c r="E103" s="172">
        <v>0</v>
      </c>
      <c r="F103" s="172">
        <v>0</v>
      </c>
      <c r="G103" s="172">
        <v>3.6</v>
      </c>
      <c r="H103" s="134" t="e">
        <f t="shared" si="2"/>
        <v>#DIV/0!</v>
      </c>
      <c r="I103" s="172">
        <v>3.6</v>
      </c>
      <c r="J103" s="172">
        <v>0</v>
      </c>
      <c r="K103" s="172">
        <v>0</v>
      </c>
      <c r="L103" s="172">
        <v>0</v>
      </c>
    </row>
    <row r="104" spans="1:12" ht="15">
      <c r="A104" s="50"/>
      <c r="B104" s="48">
        <v>2219</v>
      </c>
      <c r="C104" s="48">
        <v>2133</v>
      </c>
      <c r="D104" s="48" t="s">
        <v>291</v>
      </c>
      <c r="E104" s="172">
        <v>80</v>
      </c>
      <c r="F104" s="172">
        <v>80</v>
      </c>
      <c r="G104" s="172">
        <v>41.4</v>
      </c>
      <c r="H104" s="134">
        <f t="shared" si="2"/>
        <v>51.74999999999999</v>
      </c>
      <c r="I104" s="172">
        <v>50</v>
      </c>
      <c r="J104" s="172">
        <v>80</v>
      </c>
      <c r="K104" s="172">
        <v>80</v>
      </c>
      <c r="L104" s="172">
        <v>80</v>
      </c>
    </row>
    <row r="105" spans="1:12" ht="15">
      <c r="A105" s="50"/>
      <c r="B105" s="48">
        <v>2219</v>
      </c>
      <c r="C105" s="48">
        <v>2329</v>
      </c>
      <c r="D105" s="48" t="s">
        <v>292</v>
      </c>
      <c r="E105" s="134">
        <v>5600</v>
      </c>
      <c r="F105" s="134">
        <v>5600</v>
      </c>
      <c r="G105" s="134">
        <v>3891.6</v>
      </c>
      <c r="H105" s="134">
        <f t="shared" si="2"/>
        <v>69.49285714285715</v>
      </c>
      <c r="I105" s="134">
        <v>5650</v>
      </c>
      <c r="J105" s="134">
        <v>5600</v>
      </c>
      <c r="K105" s="134">
        <v>5600</v>
      </c>
      <c r="L105" s="134">
        <v>5600</v>
      </c>
    </row>
    <row r="106" spans="1:12" ht="15" hidden="1">
      <c r="A106" s="50"/>
      <c r="B106" s="48">
        <v>2229</v>
      </c>
      <c r="C106" s="48">
        <v>2324</v>
      </c>
      <c r="D106" s="48" t="s">
        <v>293</v>
      </c>
      <c r="E106" s="146"/>
      <c r="F106" s="146"/>
      <c r="G106" s="146"/>
      <c r="H106" s="134" t="e">
        <f t="shared" si="2"/>
        <v>#DIV/0!</v>
      </c>
      <c r="I106" s="146"/>
      <c r="J106" s="146"/>
      <c r="K106" s="146"/>
      <c r="L106" s="146"/>
    </row>
    <row r="107" spans="1:12" ht="15" hidden="1">
      <c r="A107" s="50"/>
      <c r="B107" s="48">
        <v>2221</v>
      </c>
      <c r="C107" s="48">
        <v>2329</v>
      </c>
      <c r="D107" s="48" t="s">
        <v>294</v>
      </c>
      <c r="E107" s="146"/>
      <c r="F107" s="146"/>
      <c r="G107" s="146"/>
      <c r="H107" s="134" t="e">
        <f t="shared" si="2"/>
        <v>#DIV/0!</v>
      </c>
      <c r="I107" s="146"/>
      <c r="J107" s="146"/>
      <c r="K107" s="146"/>
      <c r="L107" s="146"/>
    </row>
    <row r="108" spans="1:12" ht="15">
      <c r="A108" s="50"/>
      <c r="B108" s="48">
        <v>3341</v>
      </c>
      <c r="C108" s="48">
        <v>2111</v>
      </c>
      <c r="D108" s="48" t="s">
        <v>295</v>
      </c>
      <c r="E108" s="173">
        <v>5</v>
      </c>
      <c r="F108" s="173">
        <v>5</v>
      </c>
      <c r="G108" s="173">
        <v>3.9</v>
      </c>
      <c r="H108" s="134">
        <f t="shared" si="2"/>
        <v>78</v>
      </c>
      <c r="I108" s="206">
        <v>5</v>
      </c>
      <c r="J108" s="206">
        <v>5</v>
      </c>
      <c r="K108" s="206">
        <v>5</v>
      </c>
      <c r="L108" s="206">
        <v>5</v>
      </c>
    </row>
    <row r="109" spans="1:12" ht="15">
      <c r="A109" s="50"/>
      <c r="B109" s="48">
        <v>3631</v>
      </c>
      <c r="C109" s="48">
        <v>2133</v>
      </c>
      <c r="D109" s="48" t="s">
        <v>296</v>
      </c>
      <c r="E109" s="134">
        <v>500</v>
      </c>
      <c r="F109" s="134">
        <v>500</v>
      </c>
      <c r="G109" s="134">
        <v>361.7</v>
      </c>
      <c r="H109" s="134">
        <f t="shared" si="2"/>
        <v>72.33999999999999</v>
      </c>
      <c r="I109" s="140">
        <v>500</v>
      </c>
      <c r="J109" s="140">
        <v>500</v>
      </c>
      <c r="K109" s="140">
        <v>500</v>
      </c>
      <c r="L109" s="140">
        <v>500</v>
      </c>
    </row>
    <row r="110" spans="1:12" ht="15">
      <c r="A110" s="50"/>
      <c r="B110" s="48">
        <v>3631</v>
      </c>
      <c r="C110" s="48">
        <v>2322</v>
      </c>
      <c r="D110" s="48" t="s">
        <v>297</v>
      </c>
      <c r="E110" s="134">
        <v>0</v>
      </c>
      <c r="F110" s="134">
        <v>0</v>
      </c>
      <c r="G110" s="134">
        <v>20.2</v>
      </c>
      <c r="H110" s="134" t="e">
        <f t="shared" si="2"/>
        <v>#DIV/0!</v>
      </c>
      <c r="I110" s="134">
        <v>20.2</v>
      </c>
      <c r="J110" s="134">
        <v>0</v>
      </c>
      <c r="K110" s="134">
        <v>0</v>
      </c>
      <c r="L110" s="134">
        <v>0</v>
      </c>
    </row>
    <row r="111" spans="1:12" ht="15">
      <c r="A111" s="50"/>
      <c r="B111" s="48">
        <v>3631</v>
      </c>
      <c r="C111" s="48">
        <v>2324</v>
      </c>
      <c r="D111" s="48" t="s">
        <v>298</v>
      </c>
      <c r="E111" s="134">
        <v>0</v>
      </c>
      <c r="F111" s="134">
        <v>0</v>
      </c>
      <c r="G111" s="134">
        <v>25.7</v>
      </c>
      <c r="H111" s="134" t="e">
        <f t="shared" si="2"/>
        <v>#DIV/0!</v>
      </c>
      <c r="I111" s="134">
        <v>25.7</v>
      </c>
      <c r="J111" s="134">
        <v>0</v>
      </c>
      <c r="K111" s="134">
        <v>0</v>
      </c>
      <c r="L111" s="134">
        <v>0</v>
      </c>
    </row>
    <row r="112" spans="1:12" ht="15">
      <c r="A112" s="50"/>
      <c r="B112" s="48">
        <v>3632</v>
      </c>
      <c r="C112" s="48">
        <v>2111</v>
      </c>
      <c r="D112" s="48" t="s">
        <v>299</v>
      </c>
      <c r="E112" s="134">
        <v>300</v>
      </c>
      <c r="F112" s="134">
        <v>300</v>
      </c>
      <c r="G112" s="134">
        <v>790.4</v>
      </c>
      <c r="H112" s="134">
        <f t="shared" si="2"/>
        <v>263.46666666666664</v>
      </c>
      <c r="I112" s="140">
        <v>900</v>
      </c>
      <c r="J112" s="140">
        <v>400</v>
      </c>
      <c r="K112" s="140">
        <v>400</v>
      </c>
      <c r="L112" s="140">
        <v>400</v>
      </c>
    </row>
    <row r="113" spans="1:12" ht="15">
      <c r="A113" s="50"/>
      <c r="B113" s="48">
        <v>3632</v>
      </c>
      <c r="C113" s="48">
        <v>2132</v>
      </c>
      <c r="D113" s="48" t="s">
        <v>300</v>
      </c>
      <c r="E113" s="134">
        <v>25</v>
      </c>
      <c r="F113" s="134">
        <v>25</v>
      </c>
      <c r="G113" s="134">
        <v>20</v>
      </c>
      <c r="H113" s="134">
        <f t="shared" si="2"/>
        <v>80</v>
      </c>
      <c r="I113" s="140">
        <v>25</v>
      </c>
      <c r="J113" s="140">
        <v>25</v>
      </c>
      <c r="K113" s="140">
        <v>25</v>
      </c>
      <c r="L113" s="140">
        <v>25</v>
      </c>
    </row>
    <row r="114" spans="1:12" ht="15">
      <c r="A114" s="50"/>
      <c r="B114" s="48">
        <v>3632</v>
      </c>
      <c r="C114" s="48">
        <v>2324</v>
      </c>
      <c r="D114" s="48" t="s">
        <v>301</v>
      </c>
      <c r="E114" s="134">
        <v>0</v>
      </c>
      <c r="F114" s="134">
        <v>0</v>
      </c>
      <c r="G114" s="134">
        <v>1.1</v>
      </c>
      <c r="H114" s="134" t="e">
        <f t="shared" si="2"/>
        <v>#DIV/0!</v>
      </c>
      <c r="I114" s="140">
        <v>1.1</v>
      </c>
      <c r="J114" s="140">
        <v>0</v>
      </c>
      <c r="K114" s="140">
        <v>0</v>
      </c>
      <c r="L114" s="140">
        <v>0</v>
      </c>
    </row>
    <row r="115" spans="1:12" ht="15">
      <c r="A115" s="50"/>
      <c r="B115" s="48">
        <v>3632</v>
      </c>
      <c r="C115" s="48">
        <v>2329</v>
      </c>
      <c r="D115" s="48" t="s">
        <v>302</v>
      </c>
      <c r="E115" s="134">
        <v>100</v>
      </c>
      <c r="F115" s="134">
        <v>100</v>
      </c>
      <c r="G115" s="134">
        <v>55.7</v>
      </c>
      <c r="H115" s="134">
        <f t="shared" si="2"/>
        <v>55.7</v>
      </c>
      <c r="I115" s="140">
        <v>80</v>
      </c>
      <c r="J115" s="140">
        <v>100</v>
      </c>
      <c r="K115" s="140">
        <v>100</v>
      </c>
      <c r="L115" s="140">
        <v>100</v>
      </c>
    </row>
    <row r="116" spans="1:12" ht="15" hidden="1">
      <c r="A116" s="50"/>
      <c r="B116" s="48">
        <v>3722</v>
      </c>
      <c r="C116" s="48">
        <v>2324</v>
      </c>
      <c r="D116" s="48" t="s">
        <v>303</v>
      </c>
      <c r="E116" s="134"/>
      <c r="F116" s="134"/>
      <c r="G116" s="134"/>
      <c r="H116" s="134" t="e">
        <f t="shared" si="2"/>
        <v>#DIV/0!</v>
      </c>
      <c r="I116" s="140"/>
      <c r="J116" s="140"/>
      <c r="K116" s="140"/>
      <c r="L116" s="140"/>
    </row>
    <row r="117" spans="1:12" ht="15">
      <c r="A117" s="50"/>
      <c r="B117" s="48">
        <v>3722</v>
      </c>
      <c r="C117" s="48">
        <v>2324</v>
      </c>
      <c r="D117" s="48" t="s">
        <v>304</v>
      </c>
      <c r="E117" s="134">
        <v>0</v>
      </c>
      <c r="F117" s="134">
        <v>0</v>
      </c>
      <c r="G117" s="134">
        <v>36.7</v>
      </c>
      <c r="H117" s="134" t="e">
        <f t="shared" si="2"/>
        <v>#DIV/0!</v>
      </c>
      <c r="I117" s="140">
        <v>36.7</v>
      </c>
      <c r="J117" s="140">
        <v>0</v>
      </c>
      <c r="K117" s="140">
        <v>0</v>
      </c>
      <c r="L117" s="140">
        <v>0</v>
      </c>
    </row>
    <row r="118" spans="1:12" ht="15">
      <c r="A118" s="50"/>
      <c r="B118" s="48">
        <v>3725</v>
      </c>
      <c r="C118" s="48">
        <v>2324</v>
      </c>
      <c r="D118" s="48" t="s">
        <v>305</v>
      </c>
      <c r="E118" s="134">
        <v>0</v>
      </c>
      <c r="F118" s="134">
        <v>0</v>
      </c>
      <c r="G118" s="134">
        <v>0.5</v>
      </c>
      <c r="H118" s="134" t="e">
        <f t="shared" si="2"/>
        <v>#DIV/0!</v>
      </c>
      <c r="I118" s="140">
        <v>0.5</v>
      </c>
      <c r="J118" s="140">
        <v>0</v>
      </c>
      <c r="K118" s="140">
        <v>0</v>
      </c>
      <c r="L118" s="140">
        <v>0</v>
      </c>
    </row>
    <row r="119" spans="1:12" ht="15">
      <c r="A119" s="50"/>
      <c r="B119" s="48">
        <v>3745</v>
      </c>
      <c r="C119" s="48">
        <v>2324</v>
      </c>
      <c r="D119" s="48" t="s">
        <v>306</v>
      </c>
      <c r="E119" s="134">
        <v>0</v>
      </c>
      <c r="F119" s="134">
        <v>0</v>
      </c>
      <c r="G119" s="134">
        <v>12.2</v>
      </c>
      <c r="H119" s="134" t="e">
        <f t="shared" si="2"/>
        <v>#DIV/0!</v>
      </c>
      <c r="I119" s="140">
        <v>12.2</v>
      </c>
      <c r="J119" s="140">
        <v>0</v>
      </c>
      <c r="K119" s="140">
        <v>0</v>
      </c>
      <c r="L119" s="140">
        <v>0</v>
      </c>
    </row>
    <row r="120" spans="1:12" ht="15" hidden="1">
      <c r="A120" s="50"/>
      <c r="B120" s="48">
        <v>5512</v>
      </c>
      <c r="C120" s="48">
        <v>2132</v>
      </c>
      <c r="D120" s="48" t="s">
        <v>307</v>
      </c>
      <c r="E120" s="134">
        <v>0</v>
      </c>
      <c r="F120" s="134">
        <v>0</v>
      </c>
      <c r="G120" s="134"/>
      <c r="H120" s="134" t="e">
        <f t="shared" si="2"/>
        <v>#DIV/0!</v>
      </c>
      <c r="I120" s="134"/>
      <c r="J120" s="134"/>
      <c r="K120" s="134"/>
      <c r="L120" s="134"/>
    </row>
    <row r="121" spans="1:12" ht="15">
      <c r="A121" s="50"/>
      <c r="B121" s="48">
        <v>5512</v>
      </c>
      <c r="C121" s="48">
        <v>2324</v>
      </c>
      <c r="D121" s="48" t="s">
        <v>308</v>
      </c>
      <c r="E121" s="134">
        <v>0</v>
      </c>
      <c r="F121" s="134">
        <v>81.6</v>
      </c>
      <c r="G121" s="134">
        <v>81.6</v>
      </c>
      <c r="H121" s="134">
        <f t="shared" si="2"/>
        <v>100</v>
      </c>
      <c r="I121" s="134">
        <v>81.6</v>
      </c>
      <c r="J121" s="134">
        <v>0</v>
      </c>
      <c r="K121" s="134">
        <v>0</v>
      </c>
      <c r="L121" s="134">
        <v>0</v>
      </c>
    </row>
    <row r="122" spans="1:12" ht="15">
      <c r="A122" s="50"/>
      <c r="B122" s="48">
        <v>5512</v>
      </c>
      <c r="C122" s="48">
        <v>3113</v>
      </c>
      <c r="D122" s="48" t="s">
        <v>309</v>
      </c>
      <c r="E122" s="146">
        <v>0</v>
      </c>
      <c r="F122" s="146">
        <v>77</v>
      </c>
      <c r="G122" s="146">
        <v>77</v>
      </c>
      <c r="H122" s="134">
        <f t="shared" si="2"/>
        <v>100</v>
      </c>
      <c r="I122" s="146">
        <v>77</v>
      </c>
      <c r="J122" s="146">
        <v>0</v>
      </c>
      <c r="K122" s="146">
        <v>0</v>
      </c>
      <c r="L122" s="146">
        <v>0</v>
      </c>
    </row>
    <row r="123" spans="1:12" ht="15">
      <c r="A123" s="50"/>
      <c r="B123" s="48">
        <v>6171</v>
      </c>
      <c r="C123" s="48">
        <v>2111</v>
      </c>
      <c r="D123" s="48" t="s">
        <v>310</v>
      </c>
      <c r="E123" s="173">
        <v>150</v>
      </c>
      <c r="F123" s="173">
        <v>150</v>
      </c>
      <c r="G123" s="173">
        <v>127.2</v>
      </c>
      <c r="H123" s="134">
        <f t="shared" si="2"/>
        <v>84.8</v>
      </c>
      <c r="I123" s="206">
        <v>150</v>
      </c>
      <c r="J123" s="206">
        <v>150</v>
      </c>
      <c r="K123" s="206">
        <v>150</v>
      </c>
      <c r="L123" s="206">
        <v>150</v>
      </c>
    </row>
    <row r="124" spans="1:12" ht="15">
      <c r="A124" s="50"/>
      <c r="B124" s="48">
        <v>6171</v>
      </c>
      <c r="C124" s="48">
        <v>2131</v>
      </c>
      <c r="D124" s="48" t="s">
        <v>311</v>
      </c>
      <c r="E124" s="172">
        <v>200</v>
      </c>
      <c r="F124" s="172">
        <v>200</v>
      </c>
      <c r="G124" s="172">
        <v>257.2</v>
      </c>
      <c r="H124" s="134">
        <f t="shared" si="2"/>
        <v>128.6</v>
      </c>
      <c r="I124" s="205">
        <v>300</v>
      </c>
      <c r="J124" s="205">
        <v>250</v>
      </c>
      <c r="K124" s="205">
        <v>250</v>
      </c>
      <c r="L124" s="205">
        <v>250</v>
      </c>
    </row>
    <row r="125" spans="1:12" ht="15">
      <c r="A125" s="50"/>
      <c r="B125" s="48">
        <v>6171</v>
      </c>
      <c r="C125" s="48">
        <v>2132</v>
      </c>
      <c r="D125" s="48" t="s">
        <v>312</v>
      </c>
      <c r="E125" s="134">
        <v>50</v>
      </c>
      <c r="F125" s="134">
        <v>50</v>
      </c>
      <c r="G125" s="134">
        <v>66.3</v>
      </c>
      <c r="H125" s="134">
        <f t="shared" si="2"/>
        <v>132.6</v>
      </c>
      <c r="I125" s="140">
        <v>70</v>
      </c>
      <c r="J125" s="140">
        <v>50</v>
      </c>
      <c r="K125" s="140">
        <v>50</v>
      </c>
      <c r="L125" s="140">
        <v>50</v>
      </c>
    </row>
    <row r="126" spans="1:12" ht="15" hidden="1">
      <c r="A126" s="50"/>
      <c r="B126" s="48">
        <v>6171</v>
      </c>
      <c r="C126" s="48">
        <v>2210</v>
      </c>
      <c r="D126" s="48" t="s">
        <v>313</v>
      </c>
      <c r="E126" s="135"/>
      <c r="F126" s="135"/>
      <c r="G126" s="135"/>
      <c r="H126" s="134" t="e">
        <f t="shared" si="2"/>
        <v>#DIV/0!</v>
      </c>
      <c r="I126" s="135"/>
      <c r="J126" s="135"/>
      <c r="K126" s="135"/>
      <c r="L126" s="135"/>
    </row>
    <row r="127" spans="1:12" ht="15" hidden="1">
      <c r="A127" s="50"/>
      <c r="B127" s="48">
        <v>6171</v>
      </c>
      <c r="C127" s="48">
        <v>2310</v>
      </c>
      <c r="D127" s="48" t="s">
        <v>314</v>
      </c>
      <c r="E127" s="134"/>
      <c r="F127" s="134"/>
      <c r="G127" s="134"/>
      <c r="H127" s="134" t="e">
        <f t="shared" si="2"/>
        <v>#DIV/0!</v>
      </c>
      <c r="I127" s="134"/>
      <c r="J127" s="134"/>
      <c r="K127" s="134"/>
      <c r="L127" s="134"/>
    </row>
    <row r="128" spans="1:12" ht="15" hidden="1">
      <c r="A128" s="50"/>
      <c r="B128" s="48">
        <v>6171</v>
      </c>
      <c r="C128" s="48">
        <v>2310</v>
      </c>
      <c r="D128" s="48" t="s">
        <v>314</v>
      </c>
      <c r="E128" s="134"/>
      <c r="F128" s="134"/>
      <c r="G128" s="134"/>
      <c r="H128" s="134" t="e">
        <f t="shared" si="2"/>
        <v>#DIV/0!</v>
      </c>
      <c r="I128" s="134"/>
      <c r="J128" s="134"/>
      <c r="K128" s="134"/>
      <c r="L128" s="134"/>
    </row>
    <row r="129" spans="1:12" ht="15">
      <c r="A129" s="50"/>
      <c r="B129" s="48">
        <v>6171</v>
      </c>
      <c r="C129" s="48">
        <v>2133</v>
      </c>
      <c r="D129" s="48" t="s">
        <v>315</v>
      </c>
      <c r="E129" s="173">
        <v>90</v>
      </c>
      <c r="F129" s="173">
        <v>90</v>
      </c>
      <c r="G129" s="173">
        <v>69.8</v>
      </c>
      <c r="H129" s="134">
        <f t="shared" si="2"/>
        <v>77.55555555555556</v>
      </c>
      <c r="I129" s="173">
        <v>90</v>
      </c>
      <c r="J129" s="173">
        <v>90</v>
      </c>
      <c r="K129" s="173">
        <v>90</v>
      </c>
      <c r="L129" s="173">
        <v>90</v>
      </c>
    </row>
    <row r="130" spans="1:12" ht="15" hidden="1">
      <c r="A130" s="50"/>
      <c r="B130" s="48">
        <v>6171</v>
      </c>
      <c r="C130" s="48">
        <v>2321</v>
      </c>
      <c r="D130" s="48" t="s">
        <v>316</v>
      </c>
      <c r="E130" s="173"/>
      <c r="F130" s="173"/>
      <c r="G130" s="173"/>
      <c r="H130" s="134" t="e">
        <f t="shared" si="2"/>
        <v>#DIV/0!</v>
      </c>
      <c r="I130" s="173"/>
      <c r="J130" s="173"/>
      <c r="K130" s="173"/>
      <c r="L130" s="173"/>
    </row>
    <row r="131" spans="1:12" ht="15">
      <c r="A131" s="50"/>
      <c r="B131" s="48">
        <v>6171</v>
      </c>
      <c r="C131" s="48">
        <v>2322</v>
      </c>
      <c r="D131" s="48" t="s">
        <v>317</v>
      </c>
      <c r="E131" s="134">
        <v>0</v>
      </c>
      <c r="F131" s="134">
        <v>0</v>
      </c>
      <c r="G131" s="134">
        <v>0.5</v>
      </c>
      <c r="H131" s="134" t="e">
        <f t="shared" si="2"/>
        <v>#DIV/0!</v>
      </c>
      <c r="I131" s="140">
        <v>0.5</v>
      </c>
      <c r="J131" s="140">
        <v>0</v>
      </c>
      <c r="K131" s="140">
        <v>0</v>
      </c>
      <c r="L131" s="140">
        <v>0</v>
      </c>
    </row>
    <row r="132" spans="1:12" ht="15">
      <c r="A132" s="50"/>
      <c r="B132" s="48">
        <v>6171</v>
      </c>
      <c r="C132" s="48">
        <v>2324</v>
      </c>
      <c r="D132" s="48" t="s">
        <v>318</v>
      </c>
      <c r="E132" s="134">
        <v>100</v>
      </c>
      <c r="F132" s="134">
        <v>100</v>
      </c>
      <c r="G132" s="134">
        <v>18.4</v>
      </c>
      <c r="H132" s="134">
        <f t="shared" si="2"/>
        <v>18.4</v>
      </c>
      <c r="I132" s="140">
        <v>60</v>
      </c>
      <c r="J132" s="140">
        <v>50</v>
      </c>
      <c r="K132" s="140">
        <v>50</v>
      </c>
      <c r="L132" s="140">
        <v>50</v>
      </c>
    </row>
    <row r="133" spans="1:12" ht="15" hidden="1">
      <c r="A133" s="50"/>
      <c r="B133" s="48">
        <v>6171</v>
      </c>
      <c r="C133" s="48">
        <v>2329</v>
      </c>
      <c r="D133" s="48" t="s">
        <v>319</v>
      </c>
      <c r="E133" s="134">
        <v>0</v>
      </c>
      <c r="F133" s="134">
        <v>0</v>
      </c>
      <c r="G133" s="134"/>
      <c r="H133" s="134" t="e">
        <f>(#REF!/F133)*100</f>
        <v>#REF!</v>
      </c>
      <c r="I133" s="134">
        <v>0</v>
      </c>
      <c r="J133" s="134">
        <v>0</v>
      </c>
      <c r="K133" s="134">
        <v>0</v>
      </c>
      <c r="L133" s="134">
        <v>0</v>
      </c>
    </row>
    <row r="134" spans="1:12" ht="15" hidden="1">
      <c r="A134" s="106"/>
      <c r="B134" s="107">
        <v>6171</v>
      </c>
      <c r="C134" s="107">
        <v>3113</v>
      </c>
      <c r="D134" s="107" t="s">
        <v>320</v>
      </c>
      <c r="E134" s="147">
        <v>0</v>
      </c>
      <c r="F134" s="147">
        <v>0</v>
      </c>
      <c r="G134" s="147"/>
      <c r="H134" s="147" t="e">
        <f>(#REF!/F134)*100</f>
        <v>#REF!</v>
      </c>
      <c r="I134" s="147">
        <v>0</v>
      </c>
      <c r="J134" s="147">
        <v>0</v>
      </c>
      <c r="K134" s="147">
        <v>0</v>
      </c>
      <c r="L134" s="147">
        <v>0</v>
      </c>
    </row>
    <row r="135" spans="1:12" ht="21.75" customHeight="1" thickBot="1">
      <c r="A135" s="111"/>
      <c r="B135" s="112"/>
      <c r="C135" s="112"/>
      <c r="D135" s="112"/>
      <c r="E135" s="141"/>
      <c r="F135" s="141"/>
      <c r="G135" s="141"/>
      <c r="H135" s="141"/>
      <c r="I135" s="141"/>
      <c r="J135" s="141"/>
      <c r="K135" s="141"/>
      <c r="L135" s="141"/>
    </row>
    <row r="136" spans="1:12" s="77" customFormat="1" ht="21.75" customHeight="1" thickBot="1" thickTop="1">
      <c r="A136" s="113"/>
      <c r="B136" s="114"/>
      <c r="C136" s="114"/>
      <c r="D136" s="115" t="s">
        <v>321</v>
      </c>
      <c r="E136" s="142">
        <f>SUM(E86:E135)</f>
        <v>8900</v>
      </c>
      <c r="F136" s="142">
        <f>SUM(F86:F135)</f>
        <v>17778.699999999997</v>
      </c>
      <c r="G136" s="142">
        <f>SUM(G85:G135)</f>
        <v>15196.900000000005</v>
      </c>
      <c r="H136" s="143">
        <f>(G136/F136)*100</f>
        <v>85.47812832209334</v>
      </c>
      <c r="I136" s="142">
        <f>SUM(I86:I135)</f>
        <v>17605.9</v>
      </c>
      <c r="J136" s="142">
        <f>SUM(J86:J135)</f>
        <v>8560</v>
      </c>
      <c r="K136" s="142">
        <f>SUM(K86:K135)</f>
        <v>8560</v>
      </c>
      <c r="L136" s="142">
        <f>SUM(L86:L135)</f>
        <v>8560</v>
      </c>
    </row>
    <row r="137" spans="1:12" ht="15" customHeight="1">
      <c r="A137" s="109"/>
      <c r="B137" s="109"/>
      <c r="C137" s="109"/>
      <c r="D137" s="84"/>
      <c r="E137" s="169"/>
      <c r="F137" s="169"/>
      <c r="G137" s="169"/>
      <c r="H137" s="169"/>
      <c r="I137" s="169"/>
      <c r="J137" s="169"/>
      <c r="K137" s="169"/>
      <c r="L137" s="169"/>
    </row>
    <row r="138" spans="1:12" ht="15" customHeight="1">
      <c r="A138" s="109"/>
      <c r="B138" s="109"/>
      <c r="C138" s="109"/>
      <c r="D138" s="84"/>
      <c r="E138" s="169"/>
      <c r="F138" s="169"/>
      <c r="G138" s="169"/>
      <c r="H138" s="169"/>
      <c r="I138" s="169"/>
      <c r="J138" s="169"/>
      <c r="K138" s="169"/>
      <c r="L138" s="169"/>
    </row>
    <row r="139" spans="1:12" ht="12.75" customHeight="1" hidden="1">
      <c r="A139" s="109"/>
      <c r="B139" s="109"/>
      <c r="C139" s="109"/>
      <c r="D139" s="84"/>
      <c r="E139" s="169"/>
      <c r="F139" s="169"/>
      <c r="G139" s="169"/>
      <c r="H139" s="169"/>
      <c r="I139" s="169"/>
      <c r="J139" s="169"/>
      <c r="K139" s="169"/>
      <c r="L139" s="169"/>
    </row>
    <row r="140" spans="1:12" ht="15" customHeight="1" thickBot="1">
      <c r="A140" s="109"/>
      <c r="B140" s="109"/>
      <c r="C140" s="109"/>
      <c r="D140" s="84"/>
      <c r="E140" s="169"/>
      <c r="F140" s="169"/>
      <c r="G140" s="169"/>
      <c r="H140" s="169"/>
      <c r="I140" s="169"/>
      <c r="J140" s="169"/>
      <c r="K140" s="169"/>
      <c r="L140" s="169"/>
    </row>
    <row r="141" spans="1:12" ht="18">
      <c r="A141" s="160" t="s">
        <v>2</v>
      </c>
      <c r="B141" s="160" t="s">
        <v>3</v>
      </c>
      <c r="C141" s="160" t="s">
        <v>219</v>
      </c>
      <c r="D141" s="209" t="s">
        <v>484</v>
      </c>
      <c r="E141" s="162" t="s">
        <v>489</v>
      </c>
      <c r="F141" s="162" t="s">
        <v>490</v>
      </c>
      <c r="G141" s="162" t="s">
        <v>6</v>
      </c>
      <c r="H141" s="162" t="s">
        <v>220</v>
      </c>
      <c r="I141" s="162" t="s">
        <v>458</v>
      </c>
      <c r="J141" s="162" t="s">
        <v>5</v>
      </c>
      <c r="K141" s="162" t="s">
        <v>5</v>
      </c>
      <c r="L141" s="162" t="s">
        <v>5</v>
      </c>
    </row>
    <row r="142" spans="1:12" ht="15.75" customHeight="1" thickBot="1">
      <c r="A142" s="163"/>
      <c r="B142" s="163"/>
      <c r="C142" s="163"/>
      <c r="D142" s="164"/>
      <c r="E142" s="166">
        <v>2010</v>
      </c>
      <c r="F142" s="166">
        <v>2010</v>
      </c>
      <c r="G142" s="166" t="s">
        <v>22</v>
      </c>
      <c r="H142" s="165" t="s">
        <v>221</v>
      </c>
      <c r="I142" s="166">
        <v>2010</v>
      </c>
      <c r="J142" s="166">
        <v>2011</v>
      </c>
      <c r="K142" s="166">
        <v>2012</v>
      </c>
      <c r="L142" s="166" t="s">
        <v>459</v>
      </c>
    </row>
    <row r="143" spans="1:12" ht="16.5" customHeight="1" thickTop="1">
      <c r="A143" s="88">
        <v>50</v>
      </c>
      <c r="B143" s="88"/>
      <c r="C143" s="88"/>
      <c r="D143" s="89" t="s">
        <v>131</v>
      </c>
      <c r="E143" s="146"/>
      <c r="F143" s="146"/>
      <c r="G143" s="146"/>
      <c r="H143" s="146"/>
      <c r="I143" s="146"/>
      <c r="J143" s="146"/>
      <c r="K143" s="146"/>
      <c r="L143" s="146"/>
    </row>
    <row r="144" spans="1:12" ht="15" customHeight="1">
      <c r="A144" s="48"/>
      <c r="B144" s="48"/>
      <c r="C144" s="48"/>
      <c r="D144" s="56"/>
      <c r="E144" s="134"/>
      <c r="F144" s="134"/>
      <c r="G144" s="134"/>
      <c r="H144" s="134"/>
      <c r="I144" s="134"/>
      <c r="J144" s="134"/>
      <c r="K144" s="134"/>
      <c r="L144" s="134"/>
    </row>
    <row r="145" spans="1:12" ht="15">
      <c r="A145" s="48"/>
      <c r="B145" s="48"/>
      <c r="C145" s="48">
        <v>1361</v>
      </c>
      <c r="D145" s="48" t="s">
        <v>224</v>
      </c>
      <c r="E145" s="134">
        <v>8</v>
      </c>
      <c r="F145" s="134">
        <v>8</v>
      </c>
      <c r="G145" s="134">
        <v>8.1</v>
      </c>
      <c r="H145" s="134">
        <f>(G145/F145)*100</f>
        <v>101.25</v>
      </c>
      <c r="I145" s="140">
        <v>8.1</v>
      </c>
      <c r="J145" s="140">
        <v>8</v>
      </c>
      <c r="K145" s="140">
        <v>8</v>
      </c>
      <c r="L145" s="140">
        <v>8</v>
      </c>
    </row>
    <row r="146" spans="1:12" ht="15">
      <c r="A146" s="48">
        <v>13235</v>
      </c>
      <c r="B146" s="48"/>
      <c r="C146" s="48">
        <v>4116</v>
      </c>
      <c r="D146" s="48" t="s">
        <v>322</v>
      </c>
      <c r="E146" s="134">
        <v>105000</v>
      </c>
      <c r="F146" s="134">
        <v>105000</v>
      </c>
      <c r="G146" s="134">
        <v>72694</v>
      </c>
      <c r="H146" s="134">
        <f>(G146/F146)*100</f>
        <v>69.23238095238095</v>
      </c>
      <c r="I146" s="140">
        <v>109000</v>
      </c>
      <c r="J146" s="140">
        <v>109000</v>
      </c>
      <c r="K146" s="140">
        <v>109000</v>
      </c>
      <c r="L146" s="140">
        <v>109000</v>
      </c>
    </row>
    <row r="147" spans="1:12" ht="15">
      <c r="A147" s="48">
        <v>13306</v>
      </c>
      <c r="B147" s="48"/>
      <c r="C147" s="48">
        <v>4116</v>
      </c>
      <c r="D147" s="48" t="s">
        <v>323</v>
      </c>
      <c r="E147" s="134">
        <v>30100</v>
      </c>
      <c r="F147" s="134">
        <v>30100</v>
      </c>
      <c r="G147" s="134">
        <v>21000</v>
      </c>
      <c r="H147" s="134">
        <f>(G147/F147)*100</f>
        <v>69.76744186046511</v>
      </c>
      <c r="I147" s="140">
        <v>29500</v>
      </c>
      <c r="J147" s="140">
        <v>30100</v>
      </c>
      <c r="K147" s="140">
        <v>30100</v>
      </c>
      <c r="L147" s="140">
        <v>30100</v>
      </c>
    </row>
    <row r="148" spans="1:12" ht="15" hidden="1">
      <c r="A148" s="48"/>
      <c r="B148" s="48"/>
      <c r="C148" s="48">
        <v>4116</v>
      </c>
      <c r="D148" s="48" t="s">
        <v>324</v>
      </c>
      <c r="E148" s="134"/>
      <c r="F148" s="134"/>
      <c r="G148" s="134"/>
      <c r="H148" s="134" t="e">
        <f>(G148/F148)*100</f>
        <v>#DIV/0!</v>
      </c>
      <c r="I148" s="134"/>
      <c r="J148" s="134"/>
      <c r="K148" s="134"/>
      <c r="L148" s="134"/>
    </row>
    <row r="149" spans="1:12" ht="15" hidden="1">
      <c r="A149" s="48">
        <v>434</v>
      </c>
      <c r="B149" s="48"/>
      <c r="C149" s="48">
        <v>4122</v>
      </c>
      <c r="D149" s="48" t="s">
        <v>325</v>
      </c>
      <c r="E149" s="134"/>
      <c r="F149" s="134"/>
      <c r="G149" s="134"/>
      <c r="H149" s="134" t="e">
        <f>(G149/F149)*100</f>
        <v>#DIV/0!</v>
      </c>
      <c r="I149" s="134"/>
      <c r="J149" s="134"/>
      <c r="K149" s="134"/>
      <c r="L149" s="134"/>
    </row>
    <row r="150" spans="1:12" ht="15" customHeight="1">
      <c r="A150" s="48"/>
      <c r="B150" s="48">
        <v>3599</v>
      </c>
      <c r="C150" s="48">
        <v>2324</v>
      </c>
      <c r="D150" s="48" t="s">
        <v>326</v>
      </c>
      <c r="E150" s="134">
        <v>0</v>
      </c>
      <c r="F150" s="134">
        <v>0</v>
      </c>
      <c r="G150" s="134">
        <v>1.3</v>
      </c>
      <c r="H150" s="134">
        <v>1.3</v>
      </c>
      <c r="I150" s="134">
        <v>1.3</v>
      </c>
      <c r="J150" s="134">
        <v>0</v>
      </c>
      <c r="K150" s="134">
        <v>0</v>
      </c>
      <c r="L150" s="134">
        <v>0</v>
      </c>
    </row>
    <row r="151" spans="1:12" ht="15" customHeight="1">
      <c r="A151" s="48"/>
      <c r="B151" s="48">
        <v>4171</v>
      </c>
      <c r="C151" s="48">
        <v>2229</v>
      </c>
      <c r="D151" s="48" t="s">
        <v>327</v>
      </c>
      <c r="E151" s="134">
        <v>0</v>
      </c>
      <c r="F151" s="134">
        <v>0</v>
      </c>
      <c r="G151" s="134">
        <v>3.6</v>
      </c>
      <c r="H151" s="134">
        <v>3.6</v>
      </c>
      <c r="I151" s="134">
        <v>3.6</v>
      </c>
      <c r="J151" s="134">
        <v>0</v>
      </c>
      <c r="K151" s="134">
        <v>0</v>
      </c>
      <c r="L151" s="134">
        <v>0</v>
      </c>
    </row>
    <row r="152" spans="1:12" ht="15" customHeight="1" hidden="1">
      <c r="A152" s="48"/>
      <c r="B152" s="48">
        <v>4172</v>
      </c>
      <c r="C152" s="48">
        <v>2229</v>
      </c>
      <c r="D152" s="48" t="s">
        <v>328</v>
      </c>
      <c r="E152" s="134">
        <v>0</v>
      </c>
      <c r="F152" s="134">
        <v>0</v>
      </c>
      <c r="G152" s="134">
        <v>0</v>
      </c>
      <c r="H152" s="134">
        <v>0</v>
      </c>
      <c r="I152" s="134">
        <v>0</v>
      </c>
      <c r="J152" s="134">
        <v>0</v>
      </c>
      <c r="K152" s="134">
        <v>0</v>
      </c>
      <c r="L152" s="134">
        <v>0</v>
      </c>
    </row>
    <row r="153" spans="1:12" ht="15" customHeight="1">
      <c r="A153" s="48"/>
      <c r="B153" s="48">
        <v>4179</v>
      </c>
      <c r="C153" s="48">
        <v>2229</v>
      </c>
      <c r="D153" s="48" t="s">
        <v>329</v>
      </c>
      <c r="E153" s="134">
        <v>0</v>
      </c>
      <c r="F153" s="134">
        <v>0</v>
      </c>
      <c r="G153" s="134">
        <v>1.8</v>
      </c>
      <c r="H153" s="134">
        <v>1.8</v>
      </c>
      <c r="I153" s="134">
        <v>1.8</v>
      </c>
      <c r="J153" s="134">
        <v>0</v>
      </c>
      <c r="K153" s="134">
        <v>0</v>
      </c>
      <c r="L153" s="134">
        <v>0</v>
      </c>
    </row>
    <row r="154" spans="1:12" ht="15" customHeight="1" hidden="1">
      <c r="A154" s="48"/>
      <c r="B154" s="48">
        <v>4181</v>
      </c>
      <c r="C154" s="48">
        <v>2229</v>
      </c>
      <c r="D154" s="48" t="s">
        <v>330</v>
      </c>
      <c r="E154" s="134">
        <v>0</v>
      </c>
      <c r="F154" s="134">
        <v>0</v>
      </c>
      <c r="G154" s="134"/>
      <c r="H154" s="134"/>
      <c r="I154" s="134"/>
      <c r="J154" s="134">
        <v>0</v>
      </c>
      <c r="K154" s="134">
        <v>0</v>
      </c>
      <c r="L154" s="134">
        <v>0</v>
      </c>
    </row>
    <row r="155" spans="1:12" ht="15" hidden="1">
      <c r="A155" s="48"/>
      <c r="B155" s="48">
        <v>4182</v>
      </c>
      <c r="C155" s="48">
        <v>2229</v>
      </c>
      <c r="D155" s="48" t="s">
        <v>331</v>
      </c>
      <c r="E155" s="134">
        <v>0</v>
      </c>
      <c r="F155" s="134">
        <v>0</v>
      </c>
      <c r="G155" s="134"/>
      <c r="H155" s="134"/>
      <c r="I155" s="134"/>
      <c r="J155" s="134">
        <v>0</v>
      </c>
      <c r="K155" s="134">
        <v>0</v>
      </c>
      <c r="L155" s="134">
        <v>0</v>
      </c>
    </row>
    <row r="156" spans="1:12" ht="15" hidden="1">
      <c r="A156" s="48"/>
      <c r="B156" s="48">
        <v>4183</v>
      </c>
      <c r="C156" s="48">
        <v>2229</v>
      </c>
      <c r="D156" s="48" t="s">
        <v>332</v>
      </c>
      <c r="E156" s="134">
        <v>0</v>
      </c>
      <c r="F156" s="134">
        <v>0</v>
      </c>
      <c r="G156" s="134"/>
      <c r="H156" s="134"/>
      <c r="I156" s="134"/>
      <c r="J156" s="134">
        <v>0</v>
      </c>
      <c r="K156" s="134">
        <v>0</v>
      </c>
      <c r="L156" s="134">
        <v>0</v>
      </c>
    </row>
    <row r="157" spans="1:12" ht="15">
      <c r="A157" s="48"/>
      <c r="B157" s="48">
        <v>4184</v>
      </c>
      <c r="C157" s="48">
        <v>2229</v>
      </c>
      <c r="D157" s="48" t="s">
        <v>333</v>
      </c>
      <c r="E157" s="134">
        <v>0</v>
      </c>
      <c r="F157" s="134">
        <v>0</v>
      </c>
      <c r="G157" s="134">
        <v>5</v>
      </c>
      <c r="H157" s="134">
        <v>5</v>
      </c>
      <c r="I157" s="134">
        <v>5</v>
      </c>
      <c r="J157" s="134">
        <v>0</v>
      </c>
      <c r="K157" s="134">
        <v>0</v>
      </c>
      <c r="L157" s="134">
        <v>0</v>
      </c>
    </row>
    <row r="158" spans="1:12" ht="15" hidden="1">
      <c r="A158" s="48"/>
      <c r="B158" s="48">
        <v>4185</v>
      </c>
      <c r="C158" s="48">
        <v>2229</v>
      </c>
      <c r="D158" s="48" t="s">
        <v>334</v>
      </c>
      <c r="E158" s="134">
        <v>0</v>
      </c>
      <c r="F158" s="134">
        <v>0</v>
      </c>
      <c r="G158" s="134">
        <v>0</v>
      </c>
      <c r="H158" s="134">
        <v>0</v>
      </c>
      <c r="I158" s="134">
        <v>0</v>
      </c>
      <c r="J158" s="134">
        <v>0</v>
      </c>
      <c r="K158" s="134">
        <v>0</v>
      </c>
      <c r="L158" s="134">
        <v>0</v>
      </c>
    </row>
    <row r="159" spans="1:12" ht="15" hidden="1">
      <c r="A159" s="48"/>
      <c r="B159" s="48">
        <v>4189</v>
      </c>
      <c r="C159" s="48">
        <v>2229</v>
      </c>
      <c r="D159" s="48" t="s">
        <v>335</v>
      </c>
      <c r="E159" s="134">
        <v>0</v>
      </c>
      <c r="F159" s="134">
        <v>0</v>
      </c>
      <c r="G159" s="134"/>
      <c r="H159" s="134"/>
      <c r="I159" s="134"/>
      <c r="J159" s="134">
        <v>0</v>
      </c>
      <c r="K159" s="134">
        <v>0</v>
      </c>
      <c r="L159" s="134">
        <v>0</v>
      </c>
    </row>
    <row r="160" spans="1:12" ht="15" hidden="1">
      <c r="A160" s="48"/>
      <c r="B160" s="48">
        <v>4195</v>
      </c>
      <c r="C160" s="48">
        <v>2229</v>
      </c>
      <c r="D160" s="48" t="s">
        <v>336</v>
      </c>
      <c r="E160" s="134">
        <v>0</v>
      </c>
      <c r="F160" s="134">
        <v>0</v>
      </c>
      <c r="G160" s="134">
        <v>0</v>
      </c>
      <c r="H160" s="134">
        <v>0</v>
      </c>
      <c r="I160" s="134">
        <v>0</v>
      </c>
      <c r="J160" s="134">
        <v>0</v>
      </c>
      <c r="K160" s="134">
        <v>0</v>
      </c>
      <c r="L160" s="134">
        <v>0</v>
      </c>
    </row>
    <row r="161" spans="1:12" ht="15" hidden="1">
      <c r="A161" s="48"/>
      <c r="B161" s="48">
        <v>4329</v>
      </c>
      <c r="C161" s="48">
        <v>2229</v>
      </c>
      <c r="D161" s="48" t="s">
        <v>337</v>
      </c>
      <c r="E161" s="134">
        <v>0</v>
      </c>
      <c r="F161" s="134">
        <v>0</v>
      </c>
      <c r="G161" s="134"/>
      <c r="H161" s="134"/>
      <c r="I161" s="134"/>
      <c r="J161" s="134">
        <v>0</v>
      </c>
      <c r="K161" s="134">
        <v>0</v>
      </c>
      <c r="L161" s="134">
        <v>0</v>
      </c>
    </row>
    <row r="162" spans="1:12" ht="15" hidden="1">
      <c r="A162" s="48"/>
      <c r="B162" s="48">
        <v>4329</v>
      </c>
      <c r="C162" s="48">
        <v>2324</v>
      </c>
      <c r="D162" s="48" t="s">
        <v>338</v>
      </c>
      <c r="E162" s="134">
        <v>0</v>
      </c>
      <c r="F162" s="134">
        <v>0</v>
      </c>
      <c r="G162" s="134"/>
      <c r="H162" s="134"/>
      <c r="I162" s="134"/>
      <c r="J162" s="134">
        <v>0</v>
      </c>
      <c r="K162" s="134">
        <v>0</v>
      </c>
      <c r="L162" s="134">
        <v>0</v>
      </c>
    </row>
    <row r="163" spans="1:12" ht="15" hidden="1">
      <c r="A163" s="48"/>
      <c r="B163" s="48">
        <v>4342</v>
      </c>
      <c r="C163" s="48">
        <v>2324</v>
      </c>
      <c r="D163" s="48" t="s">
        <v>339</v>
      </c>
      <c r="E163" s="134">
        <v>0</v>
      </c>
      <c r="F163" s="134">
        <v>0</v>
      </c>
      <c r="G163" s="134"/>
      <c r="H163" s="134"/>
      <c r="I163" s="134"/>
      <c r="J163" s="134">
        <v>0</v>
      </c>
      <c r="K163" s="134">
        <v>0</v>
      </c>
      <c r="L163" s="134">
        <v>0</v>
      </c>
    </row>
    <row r="164" spans="1:12" ht="15" hidden="1">
      <c r="A164" s="48"/>
      <c r="B164" s="48">
        <v>4349</v>
      </c>
      <c r="C164" s="48">
        <v>2229</v>
      </c>
      <c r="D164" s="48" t="s">
        <v>340</v>
      </c>
      <c r="E164" s="134">
        <v>0</v>
      </c>
      <c r="F164" s="134">
        <v>0</v>
      </c>
      <c r="G164" s="134"/>
      <c r="H164" s="134"/>
      <c r="I164" s="134"/>
      <c r="J164" s="134">
        <v>0</v>
      </c>
      <c r="K164" s="134">
        <v>0</v>
      </c>
      <c r="L164" s="134">
        <v>0</v>
      </c>
    </row>
    <row r="165" spans="1:12" ht="15" hidden="1">
      <c r="A165" s="48"/>
      <c r="B165" s="48">
        <v>4399</v>
      </c>
      <c r="C165" s="48">
        <v>2324</v>
      </c>
      <c r="D165" s="48" t="s">
        <v>341</v>
      </c>
      <c r="E165" s="134">
        <v>0</v>
      </c>
      <c r="F165" s="134">
        <v>0</v>
      </c>
      <c r="G165" s="134"/>
      <c r="H165" s="134"/>
      <c r="I165" s="134"/>
      <c r="J165" s="134">
        <v>0</v>
      </c>
      <c r="K165" s="134">
        <v>0</v>
      </c>
      <c r="L165" s="134">
        <v>0</v>
      </c>
    </row>
    <row r="166" spans="1:12" ht="15" hidden="1">
      <c r="A166" s="48"/>
      <c r="B166" s="48">
        <v>6171</v>
      </c>
      <c r="C166" s="48">
        <v>2111</v>
      </c>
      <c r="D166" s="48" t="s">
        <v>342</v>
      </c>
      <c r="E166" s="134">
        <v>0</v>
      </c>
      <c r="F166" s="134">
        <v>0</v>
      </c>
      <c r="G166" s="134"/>
      <c r="H166" s="134"/>
      <c r="I166" s="134"/>
      <c r="J166" s="134">
        <v>0</v>
      </c>
      <c r="K166" s="134">
        <v>0</v>
      </c>
      <c r="L166" s="134">
        <v>0</v>
      </c>
    </row>
    <row r="167" spans="1:12" ht="15">
      <c r="A167" s="48"/>
      <c r="B167" s="48">
        <v>6171</v>
      </c>
      <c r="C167" s="48">
        <v>2212</v>
      </c>
      <c r="D167" s="48" t="s">
        <v>343</v>
      </c>
      <c r="E167" s="134">
        <v>0</v>
      </c>
      <c r="F167" s="134">
        <v>0</v>
      </c>
      <c r="G167" s="134">
        <v>3.4</v>
      </c>
      <c r="H167" s="134">
        <v>3.4</v>
      </c>
      <c r="I167" s="134">
        <v>3.4</v>
      </c>
      <c r="J167" s="134">
        <v>0</v>
      </c>
      <c r="K167" s="134">
        <v>0</v>
      </c>
      <c r="L167" s="134">
        <v>0</v>
      </c>
    </row>
    <row r="168" spans="1:12" ht="15">
      <c r="A168" s="91"/>
      <c r="B168" s="48">
        <v>6171</v>
      </c>
      <c r="C168" s="48">
        <v>2324</v>
      </c>
      <c r="D168" s="48" t="s">
        <v>246</v>
      </c>
      <c r="E168" s="134">
        <v>0</v>
      </c>
      <c r="F168" s="134">
        <v>0</v>
      </c>
      <c r="G168" s="134">
        <v>1.5</v>
      </c>
      <c r="H168" s="134">
        <v>1.5</v>
      </c>
      <c r="I168" s="134">
        <v>1.5</v>
      </c>
      <c r="J168" s="134">
        <v>0</v>
      </c>
      <c r="K168" s="134">
        <v>0</v>
      </c>
      <c r="L168" s="134">
        <v>0</v>
      </c>
    </row>
    <row r="169" spans="1:12" ht="15" hidden="1">
      <c r="A169" s="91"/>
      <c r="B169" s="91">
        <v>6171</v>
      </c>
      <c r="C169" s="91">
        <v>2329</v>
      </c>
      <c r="D169" s="91" t="s">
        <v>344</v>
      </c>
      <c r="E169" s="135"/>
      <c r="F169" s="135"/>
      <c r="G169" s="135"/>
      <c r="H169" s="134" t="e">
        <f>(#REF!/F169)*100</f>
        <v>#REF!</v>
      </c>
      <c r="I169" s="135"/>
      <c r="J169" s="135"/>
      <c r="K169" s="135"/>
      <c r="L169" s="135"/>
    </row>
    <row r="170" spans="1:12" ht="15" hidden="1">
      <c r="A170" s="48"/>
      <c r="B170" s="48">
        <v>6409</v>
      </c>
      <c r="C170" s="48">
        <v>2229</v>
      </c>
      <c r="D170" s="48" t="s">
        <v>345</v>
      </c>
      <c r="E170" s="134"/>
      <c r="F170" s="134"/>
      <c r="G170" s="134"/>
      <c r="H170" s="134" t="e">
        <f>(#REF!/F170)*100</f>
        <v>#REF!</v>
      </c>
      <c r="I170" s="134"/>
      <c r="J170" s="134"/>
      <c r="K170" s="134"/>
      <c r="L170" s="134"/>
    </row>
    <row r="171" spans="1:12" ht="15" customHeight="1" thickBot="1">
      <c r="A171" s="112"/>
      <c r="B171" s="112"/>
      <c r="C171" s="112"/>
      <c r="D171" s="112"/>
      <c r="E171" s="141"/>
      <c r="F171" s="141"/>
      <c r="G171" s="141"/>
      <c r="H171" s="134"/>
      <c r="I171" s="141"/>
      <c r="J171" s="141"/>
      <c r="K171" s="141"/>
      <c r="L171" s="141"/>
    </row>
    <row r="172" spans="1:12" s="77" customFormat="1" ht="21.75" customHeight="1" thickBot="1" thickTop="1">
      <c r="A172" s="114"/>
      <c r="B172" s="114"/>
      <c r="C172" s="114"/>
      <c r="D172" s="115" t="s">
        <v>346</v>
      </c>
      <c r="E172" s="142">
        <f>SUM(E144:E171)</f>
        <v>135108</v>
      </c>
      <c r="F172" s="142">
        <f>SUM(F144:F171)</f>
        <v>135108</v>
      </c>
      <c r="G172" s="142">
        <f>SUM(G144:G171)</f>
        <v>93718.70000000001</v>
      </c>
      <c r="H172" s="143">
        <f>(G172/F172)*100</f>
        <v>69.36576664594251</v>
      </c>
      <c r="I172" s="142">
        <f>SUM(I144:I171)</f>
        <v>138524.69999999998</v>
      </c>
      <c r="J172" s="142">
        <f>SUM(J144:J171)</f>
        <v>139108</v>
      </c>
      <c r="K172" s="142">
        <f>SUM(K144:K171)</f>
        <v>139108</v>
      </c>
      <c r="L172" s="142">
        <f>SUM(L144:L171)</f>
        <v>139108</v>
      </c>
    </row>
    <row r="173" spans="1:12" ht="15" customHeight="1">
      <c r="A173" s="109"/>
      <c r="B173" s="77"/>
      <c r="C173" s="109"/>
      <c r="D173" s="116"/>
      <c r="E173" s="169"/>
      <c r="F173" s="169"/>
      <c r="G173" s="170"/>
      <c r="H173" s="170"/>
      <c r="I173" s="169"/>
      <c r="J173" s="169"/>
      <c r="K173" s="169"/>
      <c r="L173" s="169"/>
    </row>
    <row r="174" spans="1:12" ht="15" customHeight="1">
      <c r="A174" s="109"/>
      <c r="B174" s="77"/>
      <c r="C174" s="109"/>
      <c r="D174" s="116"/>
      <c r="E174" s="169"/>
      <c r="F174" s="169"/>
      <c r="G174" s="170"/>
      <c r="H174" s="170"/>
      <c r="I174" s="169"/>
      <c r="J174" s="169"/>
      <c r="K174" s="169"/>
      <c r="L174" s="169"/>
    </row>
    <row r="175" spans="1:12" ht="15" customHeight="1" hidden="1">
      <c r="A175" s="109"/>
      <c r="B175" s="77"/>
      <c r="C175" s="109"/>
      <c r="D175" s="116"/>
      <c r="E175" s="169"/>
      <c r="F175" s="169"/>
      <c r="G175" s="170"/>
      <c r="H175" s="170"/>
      <c r="I175" s="169"/>
      <c r="J175" s="169"/>
      <c r="K175" s="169"/>
      <c r="L175" s="169"/>
    </row>
    <row r="176" spans="1:12" ht="14.25" customHeight="1" hidden="1">
      <c r="A176" s="77"/>
      <c r="B176" s="77"/>
      <c r="C176" s="77"/>
      <c r="D176" s="77"/>
      <c r="E176" s="79"/>
      <c r="F176" s="79"/>
      <c r="G176" s="79"/>
      <c r="H176" s="79"/>
      <c r="I176" s="79"/>
      <c r="J176" s="79"/>
      <c r="K176" s="79"/>
      <c r="L176" s="79"/>
    </row>
    <row r="177" spans="1:12" ht="14.25" customHeight="1">
      <c r="A177" s="77"/>
      <c r="B177" s="77"/>
      <c r="C177" s="77"/>
      <c r="D177" s="77"/>
      <c r="E177" s="79"/>
      <c r="F177" s="79"/>
      <c r="G177" s="79"/>
      <c r="H177" s="79"/>
      <c r="I177" s="79"/>
      <c r="J177" s="79"/>
      <c r="K177" s="79"/>
      <c r="L177" s="79"/>
    </row>
    <row r="178" spans="1:12" ht="14.25" customHeight="1">
      <c r="A178" s="77"/>
      <c r="B178" s="77"/>
      <c r="C178" s="77"/>
      <c r="D178" s="77"/>
      <c r="E178" s="79"/>
      <c r="F178" s="79"/>
      <c r="G178" s="79"/>
      <c r="H178" s="79"/>
      <c r="I178" s="79"/>
      <c r="J178" s="79"/>
      <c r="K178" s="79"/>
      <c r="L178" s="79"/>
    </row>
    <row r="179" spans="1:12" ht="14.25" customHeight="1" hidden="1">
      <c r="A179" s="77"/>
      <c r="B179" s="77"/>
      <c r="C179" s="77"/>
      <c r="D179" s="77"/>
      <c r="E179" s="79"/>
      <c r="F179" s="79"/>
      <c r="G179" s="79"/>
      <c r="H179" s="79"/>
      <c r="I179" s="79"/>
      <c r="J179" s="79"/>
      <c r="K179" s="79"/>
      <c r="L179" s="79"/>
    </row>
    <row r="180" spans="1:12" ht="14.25" customHeight="1" hidden="1">
      <c r="A180" s="77"/>
      <c r="B180" s="77"/>
      <c r="C180" s="77"/>
      <c r="D180" s="77"/>
      <c r="E180" s="79"/>
      <c r="F180" s="79"/>
      <c r="G180" s="79"/>
      <c r="H180" s="79"/>
      <c r="I180" s="79"/>
      <c r="J180" s="79"/>
      <c r="K180" s="79"/>
      <c r="L180" s="79"/>
    </row>
    <row r="181" spans="1:12" ht="14.25" customHeight="1" hidden="1">
      <c r="A181" s="77"/>
      <c r="B181" s="77"/>
      <c r="C181" s="77"/>
      <c r="D181" s="77"/>
      <c r="E181" s="79"/>
      <c r="F181" s="79"/>
      <c r="G181" s="79"/>
      <c r="H181" s="79"/>
      <c r="I181" s="79"/>
      <c r="J181" s="79"/>
      <c r="K181" s="79"/>
      <c r="L181" s="79"/>
    </row>
    <row r="182" spans="1:12" ht="14.25" customHeight="1">
      <c r="A182" s="77"/>
      <c r="B182" s="77"/>
      <c r="C182" s="77"/>
      <c r="D182" s="77"/>
      <c r="E182" s="79"/>
      <c r="F182" s="79"/>
      <c r="G182" s="79"/>
      <c r="H182" s="79"/>
      <c r="I182" s="79"/>
      <c r="J182" s="79"/>
      <c r="K182" s="79"/>
      <c r="L182" s="79"/>
    </row>
    <row r="183" spans="1:12" ht="14.25" customHeight="1" thickBot="1">
      <c r="A183" s="77"/>
      <c r="B183" s="77"/>
      <c r="C183" s="77"/>
      <c r="D183" s="77"/>
      <c r="E183" s="79"/>
      <c r="F183" s="79"/>
      <c r="G183" s="79"/>
      <c r="H183" s="79"/>
      <c r="I183" s="79"/>
      <c r="J183" s="79"/>
      <c r="K183" s="79"/>
      <c r="L183" s="79"/>
    </row>
    <row r="184" spans="1:12" ht="13.5" customHeight="1" hidden="1">
      <c r="A184" s="77"/>
      <c r="B184" s="77"/>
      <c r="C184" s="77"/>
      <c r="D184" s="77"/>
      <c r="E184" s="79"/>
      <c r="F184" s="79"/>
      <c r="G184" s="79"/>
      <c r="H184" s="79"/>
      <c r="I184" s="79"/>
      <c r="J184" s="79"/>
      <c r="K184" s="79"/>
      <c r="L184" s="79"/>
    </row>
    <row r="185" spans="1:12" ht="13.5" customHeight="1" hidden="1">
      <c r="A185" s="77"/>
      <c r="B185" s="77"/>
      <c r="C185" s="77"/>
      <c r="D185" s="77"/>
      <c r="E185" s="79"/>
      <c r="F185" s="79"/>
      <c r="G185" s="79"/>
      <c r="H185" s="79"/>
      <c r="I185" s="79"/>
      <c r="J185" s="79"/>
      <c r="K185" s="79"/>
      <c r="L185" s="79"/>
    </row>
    <row r="186" spans="1:12" ht="13.5" customHeight="1" hidden="1" thickBot="1">
      <c r="A186" s="77"/>
      <c r="B186" s="77"/>
      <c r="C186" s="77"/>
      <c r="D186" s="77"/>
      <c r="E186" s="79"/>
      <c r="F186" s="79"/>
      <c r="G186" s="79"/>
      <c r="H186" s="79"/>
      <c r="I186" s="79"/>
      <c r="J186" s="79"/>
      <c r="K186" s="79"/>
      <c r="L186" s="79"/>
    </row>
    <row r="187" spans="1:12" ht="18">
      <c r="A187" s="160" t="s">
        <v>2</v>
      </c>
      <c r="B187" s="160" t="s">
        <v>3</v>
      </c>
      <c r="C187" s="160" t="s">
        <v>219</v>
      </c>
      <c r="D187" s="209" t="s">
        <v>484</v>
      </c>
      <c r="E187" s="162" t="s">
        <v>489</v>
      </c>
      <c r="F187" s="162" t="s">
        <v>490</v>
      </c>
      <c r="G187" s="162" t="s">
        <v>6</v>
      </c>
      <c r="H187" s="162" t="s">
        <v>220</v>
      </c>
      <c r="I187" s="162" t="s">
        <v>458</v>
      </c>
      <c r="J187" s="162" t="s">
        <v>5</v>
      </c>
      <c r="K187" s="162" t="s">
        <v>5</v>
      </c>
      <c r="L187" s="162" t="s">
        <v>5</v>
      </c>
    </row>
    <row r="188" spans="1:12" ht="15.75" customHeight="1" thickBot="1">
      <c r="A188" s="163"/>
      <c r="B188" s="163"/>
      <c r="C188" s="163"/>
      <c r="D188" s="164"/>
      <c r="E188" s="166">
        <v>2010</v>
      </c>
      <c r="F188" s="166">
        <v>2010</v>
      </c>
      <c r="G188" s="166" t="s">
        <v>22</v>
      </c>
      <c r="H188" s="165" t="s">
        <v>221</v>
      </c>
      <c r="I188" s="166">
        <v>2010</v>
      </c>
      <c r="J188" s="166">
        <v>2011</v>
      </c>
      <c r="K188" s="166">
        <v>2012</v>
      </c>
      <c r="L188" s="166" t="s">
        <v>459</v>
      </c>
    </row>
    <row r="189" spans="1:12" ht="15.75" customHeight="1" thickTop="1">
      <c r="A189" s="88">
        <v>60</v>
      </c>
      <c r="B189" s="88"/>
      <c r="C189" s="88"/>
      <c r="D189" s="89" t="s">
        <v>164</v>
      </c>
      <c r="E189" s="146"/>
      <c r="F189" s="146"/>
      <c r="G189" s="146"/>
      <c r="H189" s="146"/>
      <c r="I189" s="146"/>
      <c r="J189" s="146"/>
      <c r="K189" s="146"/>
      <c r="L189" s="146"/>
    </row>
    <row r="190" spans="1:12" ht="14.25" customHeight="1">
      <c r="A190" s="56"/>
      <c r="B190" s="56"/>
      <c r="C190" s="56"/>
      <c r="D190" s="56"/>
      <c r="E190" s="134"/>
      <c r="F190" s="134"/>
      <c r="G190" s="134"/>
      <c r="H190" s="134"/>
      <c r="I190" s="134"/>
      <c r="J190" s="134"/>
      <c r="K190" s="134"/>
      <c r="L190" s="134"/>
    </row>
    <row r="191" spans="1:12" ht="15">
      <c r="A191" s="48"/>
      <c r="B191" s="48"/>
      <c r="C191" s="48">
        <v>1332</v>
      </c>
      <c r="D191" s="48" t="s">
        <v>347</v>
      </c>
      <c r="E191" s="134">
        <v>4</v>
      </c>
      <c r="F191" s="134">
        <v>4</v>
      </c>
      <c r="G191" s="134">
        <v>0</v>
      </c>
      <c r="H191" s="134">
        <f aca="true" t="shared" si="3" ref="H191:H202">(G191/F191)*100</f>
        <v>0</v>
      </c>
      <c r="I191" s="134">
        <v>4</v>
      </c>
      <c r="J191" s="134">
        <v>4</v>
      </c>
      <c r="K191" s="134">
        <v>4</v>
      </c>
      <c r="L191" s="134">
        <v>4</v>
      </c>
    </row>
    <row r="192" spans="1:12" ht="15">
      <c r="A192" s="48"/>
      <c r="B192" s="48"/>
      <c r="C192" s="48">
        <v>1333</v>
      </c>
      <c r="D192" s="48" t="s">
        <v>348</v>
      </c>
      <c r="E192" s="134">
        <v>200</v>
      </c>
      <c r="F192" s="134">
        <v>200</v>
      </c>
      <c r="G192" s="134">
        <v>486.8</v>
      </c>
      <c r="H192" s="134">
        <f t="shared" si="3"/>
        <v>243.4</v>
      </c>
      <c r="I192" s="134">
        <v>600</v>
      </c>
      <c r="J192" s="134">
        <f>400+450</f>
        <v>850</v>
      </c>
      <c r="K192" s="134">
        <v>400</v>
      </c>
      <c r="L192" s="134">
        <v>400</v>
      </c>
    </row>
    <row r="193" spans="1:12" ht="15">
      <c r="A193" s="48"/>
      <c r="B193" s="48"/>
      <c r="C193" s="48">
        <v>1334</v>
      </c>
      <c r="D193" s="48" t="s">
        <v>349</v>
      </c>
      <c r="E193" s="134">
        <v>60</v>
      </c>
      <c r="F193" s="134">
        <v>60</v>
      </c>
      <c r="G193" s="134">
        <v>13.9</v>
      </c>
      <c r="H193" s="134">
        <f t="shared" si="3"/>
        <v>23.166666666666664</v>
      </c>
      <c r="I193" s="134">
        <v>20</v>
      </c>
      <c r="J193" s="134">
        <v>30</v>
      </c>
      <c r="K193" s="134">
        <v>30</v>
      </c>
      <c r="L193" s="134">
        <v>30</v>
      </c>
    </row>
    <row r="194" spans="1:12" ht="15">
      <c r="A194" s="48"/>
      <c r="B194" s="48"/>
      <c r="C194" s="48">
        <v>1335</v>
      </c>
      <c r="D194" s="48" t="s">
        <v>350</v>
      </c>
      <c r="E194" s="134">
        <v>6</v>
      </c>
      <c r="F194" s="134">
        <v>6</v>
      </c>
      <c r="G194" s="134">
        <v>12.9</v>
      </c>
      <c r="H194" s="134">
        <f t="shared" si="3"/>
        <v>215</v>
      </c>
      <c r="I194" s="134">
        <v>13</v>
      </c>
      <c r="J194" s="134">
        <v>6</v>
      </c>
      <c r="K194" s="134">
        <v>6</v>
      </c>
      <c r="L194" s="134">
        <v>6</v>
      </c>
    </row>
    <row r="195" spans="1:12" ht="15">
      <c r="A195" s="48"/>
      <c r="B195" s="48"/>
      <c r="C195" s="48">
        <v>1361</v>
      </c>
      <c r="D195" s="48" t="s">
        <v>224</v>
      </c>
      <c r="E195" s="134">
        <v>250</v>
      </c>
      <c r="F195" s="134">
        <v>250</v>
      </c>
      <c r="G195" s="134">
        <v>269.1</v>
      </c>
      <c r="H195" s="134">
        <f t="shared" si="3"/>
        <v>107.64</v>
      </c>
      <c r="I195" s="134">
        <v>280</v>
      </c>
      <c r="J195" s="134">
        <v>250</v>
      </c>
      <c r="K195" s="134">
        <v>250</v>
      </c>
      <c r="L195" s="134">
        <v>200</v>
      </c>
    </row>
    <row r="196" spans="1:12" ht="15" customHeight="1" hidden="1">
      <c r="A196" s="48">
        <v>29004</v>
      </c>
      <c r="B196" s="48"/>
      <c r="C196" s="48">
        <v>4116</v>
      </c>
      <c r="D196" s="48" t="s">
        <v>351</v>
      </c>
      <c r="E196" s="134">
        <v>0</v>
      </c>
      <c r="F196" s="134">
        <v>0</v>
      </c>
      <c r="G196" s="134">
        <v>0</v>
      </c>
      <c r="H196" s="134" t="e">
        <f t="shared" si="3"/>
        <v>#DIV/0!</v>
      </c>
      <c r="I196" s="134"/>
      <c r="J196" s="134"/>
      <c r="K196" s="134"/>
      <c r="L196" s="134"/>
    </row>
    <row r="197" spans="1:12" ht="15">
      <c r="A197" s="48">
        <v>29008</v>
      </c>
      <c r="B197" s="48"/>
      <c r="C197" s="48">
        <v>4116</v>
      </c>
      <c r="D197" s="48" t="s">
        <v>352</v>
      </c>
      <c r="E197" s="134">
        <v>0</v>
      </c>
      <c r="F197" s="134">
        <v>27.7</v>
      </c>
      <c r="G197" s="134">
        <v>27.6</v>
      </c>
      <c r="H197" s="134">
        <f t="shared" si="3"/>
        <v>99.6389891696751</v>
      </c>
      <c r="I197" s="134">
        <v>55.6</v>
      </c>
      <c r="J197" s="134">
        <v>0</v>
      </c>
      <c r="K197" s="134">
        <v>0</v>
      </c>
      <c r="L197" s="134">
        <v>0</v>
      </c>
    </row>
    <row r="198" spans="1:12" ht="15">
      <c r="A198" s="48">
        <v>29516</v>
      </c>
      <c r="B198" s="48"/>
      <c r="C198" s="48">
        <v>4216</v>
      </c>
      <c r="D198" s="48" t="s">
        <v>353</v>
      </c>
      <c r="E198" s="134">
        <v>0</v>
      </c>
      <c r="F198" s="134">
        <v>148.8</v>
      </c>
      <c r="G198" s="134">
        <v>148.8</v>
      </c>
      <c r="H198" s="134">
        <f t="shared" si="3"/>
        <v>100</v>
      </c>
      <c r="I198" s="134">
        <v>148.8</v>
      </c>
      <c r="J198" s="134">
        <v>0</v>
      </c>
      <c r="K198" s="134">
        <v>0</v>
      </c>
      <c r="L198" s="134">
        <v>0</v>
      </c>
    </row>
    <row r="199" spans="1:12" ht="15">
      <c r="A199" s="91"/>
      <c r="B199" s="91">
        <v>2119</v>
      </c>
      <c r="C199" s="91">
        <v>2343</v>
      </c>
      <c r="D199" s="91" t="s">
        <v>354</v>
      </c>
      <c r="E199" s="135">
        <v>12375</v>
      </c>
      <c r="F199" s="135">
        <v>12375</v>
      </c>
      <c r="G199" s="135">
        <v>4559.5</v>
      </c>
      <c r="H199" s="134">
        <f t="shared" si="3"/>
        <v>36.84444444444445</v>
      </c>
      <c r="I199" s="135">
        <v>7000</v>
      </c>
      <c r="J199" s="135">
        <v>11000</v>
      </c>
      <c r="K199" s="135">
        <v>13000</v>
      </c>
      <c r="L199" s="135">
        <v>15000</v>
      </c>
    </row>
    <row r="200" spans="1:12" ht="15" hidden="1">
      <c r="A200" s="91"/>
      <c r="B200" s="91">
        <v>3719</v>
      </c>
      <c r="C200" s="91">
        <v>2210</v>
      </c>
      <c r="D200" s="91" t="s">
        <v>355</v>
      </c>
      <c r="E200" s="135"/>
      <c r="F200" s="135"/>
      <c r="G200" s="135"/>
      <c r="H200" s="134" t="e">
        <f t="shared" si="3"/>
        <v>#DIV/0!</v>
      </c>
      <c r="I200" s="135"/>
      <c r="J200" s="135"/>
      <c r="K200" s="135"/>
      <c r="L200" s="135"/>
    </row>
    <row r="201" spans="1:12" ht="15">
      <c r="A201" s="48"/>
      <c r="B201" s="48">
        <v>6171</v>
      </c>
      <c r="C201" s="48">
        <v>2212</v>
      </c>
      <c r="D201" s="48" t="s">
        <v>313</v>
      </c>
      <c r="E201" s="134">
        <v>100</v>
      </c>
      <c r="F201" s="134">
        <v>100</v>
      </c>
      <c r="G201" s="134">
        <v>23</v>
      </c>
      <c r="H201" s="134">
        <f t="shared" si="3"/>
        <v>23</v>
      </c>
      <c r="I201" s="134">
        <v>100</v>
      </c>
      <c r="J201" s="134">
        <v>50</v>
      </c>
      <c r="K201" s="134">
        <v>50</v>
      </c>
      <c r="L201" s="134">
        <v>50</v>
      </c>
    </row>
    <row r="202" spans="1:12" ht="15">
      <c r="A202" s="48"/>
      <c r="B202" s="48">
        <v>6171</v>
      </c>
      <c r="C202" s="48">
        <v>2324</v>
      </c>
      <c r="D202" s="48" t="s">
        <v>356</v>
      </c>
      <c r="E202" s="134">
        <v>5</v>
      </c>
      <c r="F202" s="134">
        <v>5</v>
      </c>
      <c r="G202" s="134">
        <v>3</v>
      </c>
      <c r="H202" s="134">
        <f t="shared" si="3"/>
        <v>60</v>
      </c>
      <c r="I202" s="134">
        <v>3</v>
      </c>
      <c r="J202" s="134">
        <v>5</v>
      </c>
      <c r="K202" s="134">
        <v>5</v>
      </c>
      <c r="L202" s="134">
        <v>5</v>
      </c>
    </row>
    <row r="203" spans="1:12" ht="15" hidden="1">
      <c r="A203" s="48"/>
      <c r="B203" s="48">
        <v>6171</v>
      </c>
      <c r="C203" s="48">
        <v>2329</v>
      </c>
      <c r="D203" s="48" t="s">
        <v>357</v>
      </c>
      <c r="E203" s="134"/>
      <c r="F203" s="134"/>
      <c r="G203" s="134"/>
      <c r="H203" s="134"/>
      <c r="I203" s="134"/>
      <c r="J203" s="134"/>
      <c r="K203" s="134"/>
      <c r="L203" s="134"/>
    </row>
    <row r="204" spans="1:12" ht="15" customHeight="1" thickBot="1">
      <c r="A204" s="112"/>
      <c r="B204" s="112"/>
      <c r="C204" s="112"/>
      <c r="D204" s="112"/>
      <c r="E204" s="141"/>
      <c r="F204" s="141"/>
      <c r="G204" s="141"/>
      <c r="H204" s="141"/>
      <c r="I204" s="141"/>
      <c r="J204" s="141"/>
      <c r="K204" s="141"/>
      <c r="L204" s="141"/>
    </row>
    <row r="205" spans="1:12" s="77" customFormat="1" ht="21.75" customHeight="1" thickBot="1" thickTop="1">
      <c r="A205" s="114"/>
      <c r="B205" s="114"/>
      <c r="C205" s="114"/>
      <c r="D205" s="115" t="s">
        <v>358</v>
      </c>
      <c r="E205" s="142">
        <f>SUM(E190:E204)</f>
        <v>13000</v>
      </c>
      <c r="F205" s="142">
        <f>SUM(F190:F204)</f>
        <v>13176.5</v>
      </c>
      <c r="G205" s="142">
        <f>SUM(G190:G204)</f>
        <v>5544.6</v>
      </c>
      <c r="H205" s="143">
        <f>(G205/F205)*100</f>
        <v>42.0794596440633</v>
      </c>
      <c r="I205" s="142">
        <f>SUM(I190:I204)</f>
        <v>8224.4</v>
      </c>
      <c r="J205" s="142">
        <f>SUM(J190:J204)</f>
        <v>12195</v>
      </c>
      <c r="K205" s="142">
        <f>SUM(K190:K204)</f>
        <v>13745</v>
      </c>
      <c r="L205" s="142">
        <f>SUM(L190:L204)</f>
        <v>15695</v>
      </c>
    </row>
    <row r="206" spans="1:12" ht="14.25" customHeight="1">
      <c r="A206" s="109"/>
      <c r="B206" s="109"/>
      <c r="C206" s="109"/>
      <c r="D206" s="84"/>
      <c r="E206" s="169"/>
      <c r="F206" s="169"/>
      <c r="G206" s="169"/>
      <c r="H206" s="169"/>
      <c r="I206" s="169"/>
      <c r="J206" s="169"/>
      <c r="K206" s="169"/>
      <c r="L206" s="169"/>
    </row>
    <row r="207" spans="1:12" ht="14.25" customHeight="1" hidden="1">
      <c r="A207" s="109"/>
      <c r="B207" s="109"/>
      <c r="C207" s="109"/>
      <c r="D207" s="84"/>
      <c r="E207" s="169"/>
      <c r="F207" s="169"/>
      <c r="G207" s="169"/>
      <c r="H207" s="169"/>
      <c r="I207" s="169"/>
      <c r="J207" s="169"/>
      <c r="K207" s="169"/>
      <c r="L207" s="169"/>
    </row>
    <row r="208" spans="1:12" ht="14.25" customHeight="1" hidden="1">
      <c r="A208" s="109"/>
      <c r="B208" s="109"/>
      <c r="C208" s="109"/>
      <c r="D208" s="84"/>
      <c r="E208" s="169"/>
      <c r="F208" s="169"/>
      <c r="G208" s="169"/>
      <c r="H208" s="169"/>
      <c r="I208" s="169"/>
      <c r="J208" s="169"/>
      <c r="K208" s="169"/>
      <c r="L208" s="169"/>
    </row>
    <row r="209" spans="1:12" ht="14.25" customHeight="1" hidden="1">
      <c r="A209" s="109"/>
      <c r="B209" s="109"/>
      <c r="C209" s="109"/>
      <c r="D209" s="84"/>
      <c r="E209" s="169"/>
      <c r="F209" s="169"/>
      <c r="G209" s="169"/>
      <c r="H209" s="169"/>
      <c r="I209" s="169"/>
      <c r="J209" s="169"/>
      <c r="K209" s="169"/>
      <c r="L209" s="169"/>
    </row>
    <row r="210" spans="1:12" ht="15" customHeight="1">
      <c r="A210" s="109"/>
      <c r="B210" s="109"/>
      <c r="C210" s="109"/>
      <c r="D210" s="84"/>
      <c r="E210" s="169"/>
      <c r="F210" s="169"/>
      <c r="G210" s="169"/>
      <c r="H210" s="169"/>
      <c r="I210" s="169"/>
      <c r="J210" s="169"/>
      <c r="K210" s="169"/>
      <c r="L210" s="169"/>
    </row>
    <row r="211" spans="1:12" ht="15" customHeight="1" thickBot="1">
      <c r="A211" s="109"/>
      <c r="B211" s="109"/>
      <c r="C211" s="109"/>
      <c r="D211" s="84"/>
      <c r="E211" s="169"/>
      <c r="F211" s="169"/>
      <c r="G211" s="169"/>
      <c r="H211" s="169"/>
      <c r="I211" s="169"/>
      <c r="J211" s="169"/>
      <c r="K211" s="169"/>
      <c r="L211" s="169"/>
    </row>
    <row r="212" spans="1:12" ht="18">
      <c r="A212" s="160" t="s">
        <v>2</v>
      </c>
      <c r="B212" s="160" t="s">
        <v>3</v>
      </c>
      <c r="C212" s="160" t="s">
        <v>219</v>
      </c>
      <c r="D212" s="209" t="s">
        <v>484</v>
      </c>
      <c r="E212" s="162" t="s">
        <v>489</v>
      </c>
      <c r="F212" s="162" t="s">
        <v>490</v>
      </c>
      <c r="G212" s="162" t="s">
        <v>6</v>
      </c>
      <c r="H212" s="162" t="s">
        <v>220</v>
      </c>
      <c r="I212" s="162" t="s">
        <v>458</v>
      </c>
      <c r="J212" s="162" t="s">
        <v>5</v>
      </c>
      <c r="K212" s="162" t="s">
        <v>5</v>
      </c>
      <c r="L212" s="162" t="s">
        <v>5</v>
      </c>
    </row>
    <row r="213" spans="1:12" ht="15.75" customHeight="1" thickBot="1">
      <c r="A213" s="163"/>
      <c r="B213" s="163"/>
      <c r="C213" s="163"/>
      <c r="D213" s="164"/>
      <c r="E213" s="166">
        <v>2010</v>
      </c>
      <c r="F213" s="166">
        <v>2010</v>
      </c>
      <c r="G213" s="166" t="s">
        <v>22</v>
      </c>
      <c r="H213" s="165" t="s">
        <v>221</v>
      </c>
      <c r="I213" s="166">
        <v>2010</v>
      </c>
      <c r="J213" s="166">
        <v>2011</v>
      </c>
      <c r="K213" s="166">
        <v>2012</v>
      </c>
      <c r="L213" s="166" t="s">
        <v>459</v>
      </c>
    </row>
    <row r="214" spans="1:12" ht="15.75" customHeight="1" thickTop="1">
      <c r="A214" s="88">
        <v>70</v>
      </c>
      <c r="B214" s="88"/>
      <c r="C214" s="88"/>
      <c r="D214" s="89" t="s">
        <v>359</v>
      </c>
      <c r="E214" s="146"/>
      <c r="F214" s="146"/>
      <c r="G214" s="146"/>
      <c r="H214" s="146"/>
      <c r="I214" s="146"/>
      <c r="J214" s="146"/>
      <c r="K214" s="146"/>
      <c r="L214" s="146"/>
    </row>
    <row r="215" spans="1:12" ht="15.75">
      <c r="A215" s="56"/>
      <c r="B215" s="56"/>
      <c r="C215" s="56"/>
      <c r="D215" s="56"/>
      <c r="E215" s="134"/>
      <c r="F215" s="134"/>
      <c r="G215" s="134"/>
      <c r="H215" s="134"/>
      <c r="I215" s="134"/>
      <c r="J215" s="134"/>
      <c r="K215" s="134"/>
      <c r="L215" s="134"/>
    </row>
    <row r="216" spans="1:12" ht="15">
      <c r="A216" s="48"/>
      <c r="B216" s="48"/>
      <c r="C216" s="48">
        <v>1361</v>
      </c>
      <c r="D216" s="48" t="s">
        <v>224</v>
      </c>
      <c r="E216" s="134">
        <v>880</v>
      </c>
      <c r="F216" s="134">
        <v>880</v>
      </c>
      <c r="G216" s="134">
        <v>494.2</v>
      </c>
      <c r="H216" s="134">
        <f>(G216/F216)*100</f>
        <v>56.15909090909091</v>
      </c>
      <c r="I216" s="203">
        <v>700</v>
      </c>
      <c r="J216" s="203">
        <v>600</v>
      </c>
      <c r="K216" s="203">
        <v>600</v>
      </c>
      <c r="L216" s="203">
        <v>600</v>
      </c>
    </row>
    <row r="217" spans="1:12" ht="15">
      <c r="A217" s="48"/>
      <c r="B217" s="48">
        <v>2169</v>
      </c>
      <c r="C217" s="48">
        <v>2212</v>
      </c>
      <c r="D217" s="48" t="s">
        <v>313</v>
      </c>
      <c r="E217" s="134">
        <v>400</v>
      </c>
      <c r="F217" s="134">
        <v>400</v>
      </c>
      <c r="G217" s="134">
        <v>239</v>
      </c>
      <c r="H217" s="134">
        <f>(G217/F217)*100</f>
        <v>59.75</v>
      </c>
      <c r="I217" s="203">
        <v>350</v>
      </c>
      <c r="J217" s="203">
        <v>330</v>
      </c>
      <c r="K217" s="203">
        <v>330</v>
      </c>
      <c r="L217" s="203">
        <v>330</v>
      </c>
    </row>
    <row r="218" spans="1:12" ht="15">
      <c r="A218" s="91"/>
      <c r="B218" s="91">
        <v>6171</v>
      </c>
      <c r="C218" s="91">
        <v>2324</v>
      </c>
      <c r="D218" s="91" t="s">
        <v>360</v>
      </c>
      <c r="E218" s="134">
        <v>20</v>
      </c>
      <c r="F218" s="134">
        <v>20</v>
      </c>
      <c r="G218" s="134">
        <v>4</v>
      </c>
      <c r="H218" s="134">
        <f>(G218/F218)*100</f>
        <v>20</v>
      </c>
      <c r="I218" s="203">
        <v>8</v>
      </c>
      <c r="J218" s="203">
        <v>20</v>
      </c>
      <c r="K218" s="203">
        <v>20</v>
      </c>
      <c r="L218" s="203">
        <v>20</v>
      </c>
    </row>
    <row r="219" spans="1:12" ht="15.75" thickBot="1">
      <c r="A219" s="112"/>
      <c r="B219" s="112"/>
      <c r="C219" s="112"/>
      <c r="D219" s="112"/>
      <c r="E219" s="141"/>
      <c r="F219" s="141"/>
      <c r="G219" s="141"/>
      <c r="H219" s="141"/>
      <c r="I219" s="141"/>
      <c r="J219" s="141"/>
      <c r="K219" s="141"/>
      <c r="L219" s="141"/>
    </row>
    <row r="220" spans="1:12" s="77" customFormat="1" ht="21.75" customHeight="1" thickBot="1" thickTop="1">
      <c r="A220" s="114"/>
      <c r="B220" s="114"/>
      <c r="C220" s="114"/>
      <c r="D220" s="115" t="s">
        <v>361</v>
      </c>
      <c r="E220" s="142">
        <f>SUM(E215:E219)</f>
        <v>1300</v>
      </c>
      <c r="F220" s="142">
        <f>SUM(F215:F219)</f>
        <v>1300</v>
      </c>
      <c r="G220" s="142">
        <f>SUM(G215:G219)</f>
        <v>737.2</v>
      </c>
      <c r="H220" s="143">
        <f>(G220/F220)*100</f>
        <v>56.70769230769231</v>
      </c>
      <c r="I220" s="142">
        <f>SUM(I215:I219)</f>
        <v>1058</v>
      </c>
      <c r="J220" s="142">
        <f>SUM(J215:J219)</f>
        <v>950</v>
      </c>
      <c r="K220" s="142">
        <f>SUM(K215:K219)</f>
        <v>950</v>
      </c>
      <c r="L220" s="142">
        <f>SUM(L215:L219)</f>
        <v>950</v>
      </c>
    </row>
    <row r="221" spans="1:12" ht="15" customHeight="1">
      <c r="A221" s="109"/>
      <c r="B221" s="109"/>
      <c r="C221" s="109"/>
      <c r="D221" s="84"/>
      <c r="E221" s="169"/>
      <c r="F221" s="169"/>
      <c r="G221" s="169"/>
      <c r="H221" s="169"/>
      <c r="I221" s="169"/>
      <c r="J221" s="169"/>
      <c r="K221" s="169"/>
      <c r="L221" s="169"/>
    </row>
    <row r="222" spans="1:12" ht="6" customHeight="1">
      <c r="A222" s="109"/>
      <c r="B222" s="109"/>
      <c r="C222" s="109"/>
      <c r="D222" s="84"/>
      <c r="E222" s="169"/>
      <c r="F222" s="169"/>
      <c r="G222" s="169"/>
      <c r="H222" s="169"/>
      <c r="I222" s="169"/>
      <c r="J222" s="169"/>
      <c r="K222" s="169"/>
      <c r="L222" s="169"/>
    </row>
    <row r="223" spans="1:12" ht="15" customHeight="1" thickBot="1">
      <c r="A223" s="109"/>
      <c r="B223" s="109"/>
      <c r="C223" s="109"/>
      <c r="D223" s="84"/>
      <c r="E223" s="169"/>
      <c r="F223" s="169"/>
      <c r="G223" s="169"/>
      <c r="H223" s="169"/>
      <c r="I223" s="169"/>
      <c r="J223" s="169"/>
      <c r="K223" s="169"/>
      <c r="L223" s="169"/>
    </row>
    <row r="224" spans="1:12" ht="18">
      <c r="A224" s="160" t="s">
        <v>2</v>
      </c>
      <c r="B224" s="160" t="s">
        <v>3</v>
      </c>
      <c r="C224" s="160" t="s">
        <v>219</v>
      </c>
      <c r="D224" s="209" t="s">
        <v>484</v>
      </c>
      <c r="E224" s="162" t="s">
        <v>489</v>
      </c>
      <c r="F224" s="162" t="s">
        <v>490</v>
      </c>
      <c r="G224" s="167" t="s">
        <v>6</v>
      </c>
      <c r="H224" s="167" t="s">
        <v>220</v>
      </c>
      <c r="I224" s="167" t="s">
        <v>458</v>
      </c>
      <c r="J224" s="167" t="s">
        <v>5</v>
      </c>
      <c r="K224" s="167" t="s">
        <v>5</v>
      </c>
      <c r="L224" s="167" t="s">
        <v>5</v>
      </c>
    </row>
    <row r="225" spans="1:12" ht="15.75" customHeight="1" thickBot="1">
      <c r="A225" s="163"/>
      <c r="B225" s="163"/>
      <c r="C225" s="163"/>
      <c r="D225" s="164"/>
      <c r="E225" s="166">
        <v>2010</v>
      </c>
      <c r="F225" s="166">
        <v>2010</v>
      </c>
      <c r="G225" s="168" t="s">
        <v>22</v>
      </c>
      <c r="H225" s="168" t="s">
        <v>221</v>
      </c>
      <c r="I225" s="168">
        <v>2010</v>
      </c>
      <c r="J225" s="168">
        <v>2011</v>
      </c>
      <c r="K225" s="168">
        <v>2012</v>
      </c>
      <c r="L225" s="168" t="s">
        <v>459</v>
      </c>
    </row>
    <row r="226" spans="1:12" ht="15.75" customHeight="1" thickTop="1">
      <c r="A226" s="88">
        <v>80</v>
      </c>
      <c r="B226" s="88"/>
      <c r="C226" s="88"/>
      <c r="D226" s="89" t="s">
        <v>180</v>
      </c>
      <c r="E226" s="146"/>
      <c r="F226" s="146"/>
      <c r="G226" s="146"/>
      <c r="H226" s="146"/>
      <c r="I226" s="146"/>
      <c r="J226" s="146"/>
      <c r="K226" s="146"/>
      <c r="L226" s="146"/>
    </row>
    <row r="227" spans="1:12" ht="15">
      <c r="A227" s="48"/>
      <c r="B227" s="48"/>
      <c r="C227" s="48"/>
      <c r="D227" s="48"/>
      <c r="E227" s="134"/>
      <c r="F227" s="134"/>
      <c r="G227" s="134"/>
      <c r="H227" s="134"/>
      <c r="I227" s="134"/>
      <c r="J227" s="134"/>
      <c r="K227" s="134"/>
      <c r="L227" s="134"/>
    </row>
    <row r="228" spans="1:12" ht="15">
      <c r="A228" s="48"/>
      <c r="B228" s="48"/>
      <c r="C228" s="48">
        <v>1353</v>
      </c>
      <c r="D228" s="48" t="s">
        <v>362</v>
      </c>
      <c r="E228" s="134">
        <v>950</v>
      </c>
      <c r="F228" s="134">
        <v>950</v>
      </c>
      <c r="G228" s="134">
        <v>527.2</v>
      </c>
      <c r="H228" s="134">
        <f aca="true" t="shared" si="4" ref="H228:H233">(G228/F228)*100</f>
        <v>55.49473684210526</v>
      </c>
      <c r="I228" s="134">
        <v>900</v>
      </c>
      <c r="J228" s="134">
        <v>900</v>
      </c>
      <c r="K228" s="134">
        <v>900</v>
      </c>
      <c r="L228" s="134">
        <v>900</v>
      </c>
    </row>
    <row r="229" spans="1:12" ht="15" hidden="1">
      <c r="A229" s="48"/>
      <c r="B229" s="48"/>
      <c r="C229" s="48">
        <v>1359</v>
      </c>
      <c r="D229" s="48" t="s">
        <v>363</v>
      </c>
      <c r="E229" s="134">
        <v>0</v>
      </c>
      <c r="F229" s="134">
        <v>0</v>
      </c>
      <c r="G229" s="134">
        <v>193</v>
      </c>
      <c r="H229" s="134" t="e">
        <f t="shared" si="4"/>
        <v>#DIV/0!</v>
      </c>
      <c r="I229" s="134">
        <v>0</v>
      </c>
      <c r="J229" s="134">
        <v>0</v>
      </c>
      <c r="K229" s="134">
        <v>0</v>
      </c>
      <c r="L229" s="134">
        <v>0</v>
      </c>
    </row>
    <row r="230" spans="1:12" ht="15">
      <c r="A230" s="48"/>
      <c r="B230" s="48"/>
      <c r="C230" s="48">
        <v>1361</v>
      </c>
      <c r="D230" s="48" t="s">
        <v>224</v>
      </c>
      <c r="E230" s="134">
        <v>9150</v>
      </c>
      <c r="F230" s="134">
        <v>9150</v>
      </c>
      <c r="G230" s="134">
        <v>4710.7</v>
      </c>
      <c r="H230" s="134">
        <f t="shared" si="4"/>
        <v>51.48306010928961</v>
      </c>
      <c r="I230" s="134">
        <v>7000</v>
      </c>
      <c r="J230" s="134">
        <v>7000</v>
      </c>
      <c r="K230" s="134">
        <v>7000</v>
      </c>
      <c r="L230" s="134">
        <v>7000</v>
      </c>
    </row>
    <row r="231" spans="1:12" ht="15">
      <c r="A231" s="48"/>
      <c r="B231" s="48">
        <v>2299</v>
      </c>
      <c r="C231" s="48">
        <v>2212</v>
      </c>
      <c r="D231" s="48" t="s">
        <v>364</v>
      </c>
      <c r="E231" s="134">
        <v>2100</v>
      </c>
      <c r="F231" s="134">
        <v>2100</v>
      </c>
      <c r="G231" s="134">
        <v>1419.7</v>
      </c>
      <c r="H231" s="134">
        <f t="shared" si="4"/>
        <v>67.60476190476192</v>
      </c>
      <c r="I231" s="134">
        <v>2200</v>
      </c>
      <c r="J231" s="134">
        <v>2200</v>
      </c>
      <c r="K231" s="134">
        <v>2200</v>
      </c>
      <c r="L231" s="134">
        <v>2200</v>
      </c>
    </row>
    <row r="232" spans="1:12" ht="15">
      <c r="A232" s="91"/>
      <c r="B232" s="91">
        <v>6171</v>
      </c>
      <c r="C232" s="91">
        <v>2324</v>
      </c>
      <c r="D232" s="91" t="s">
        <v>365</v>
      </c>
      <c r="E232" s="135">
        <v>300</v>
      </c>
      <c r="F232" s="135">
        <v>300</v>
      </c>
      <c r="G232" s="135">
        <v>115.9</v>
      </c>
      <c r="H232" s="134">
        <f t="shared" si="4"/>
        <v>38.63333333333333</v>
      </c>
      <c r="I232" s="135">
        <v>200</v>
      </c>
      <c r="J232" s="135">
        <v>200</v>
      </c>
      <c r="K232" s="135">
        <v>200</v>
      </c>
      <c r="L232" s="135">
        <v>200</v>
      </c>
    </row>
    <row r="233" spans="1:12" ht="15">
      <c r="A233" s="91"/>
      <c r="B233" s="91">
        <v>6171</v>
      </c>
      <c r="C233" s="91">
        <v>2329</v>
      </c>
      <c r="D233" s="91" t="s">
        <v>366</v>
      </c>
      <c r="E233" s="136">
        <v>0</v>
      </c>
      <c r="F233" s="136">
        <v>0</v>
      </c>
      <c r="G233" s="135">
        <v>15</v>
      </c>
      <c r="H233" s="134" t="e">
        <f t="shared" si="4"/>
        <v>#DIV/0!</v>
      </c>
      <c r="I233" s="136">
        <v>15</v>
      </c>
      <c r="J233" s="136">
        <v>0</v>
      </c>
      <c r="K233" s="136">
        <v>0</v>
      </c>
      <c r="L233" s="134">
        <v>0</v>
      </c>
    </row>
    <row r="234" spans="1:12" ht="15.75" thickBot="1">
      <c r="A234" s="112"/>
      <c r="B234" s="112"/>
      <c r="C234" s="112"/>
      <c r="D234" s="112"/>
      <c r="E234" s="141"/>
      <c r="F234" s="141"/>
      <c r="G234" s="141"/>
      <c r="H234" s="141"/>
      <c r="I234" s="141"/>
      <c r="J234" s="141"/>
      <c r="K234" s="141"/>
      <c r="L234" s="141"/>
    </row>
    <row r="235" spans="1:12" s="77" customFormat="1" ht="21.75" customHeight="1" thickBot="1" thickTop="1">
      <c r="A235" s="114"/>
      <c r="B235" s="114"/>
      <c r="C235" s="114"/>
      <c r="D235" s="115" t="s">
        <v>367</v>
      </c>
      <c r="E235" s="142">
        <f>SUM(E227:E234)</f>
        <v>12500</v>
      </c>
      <c r="F235" s="142">
        <f>SUM(F227:F234)</f>
        <v>12500</v>
      </c>
      <c r="G235" s="142">
        <f>SUM(G227:G234)</f>
        <v>6981.499999999999</v>
      </c>
      <c r="H235" s="143">
        <f>(G235/F235)*100</f>
        <v>55.85199999999999</v>
      </c>
      <c r="I235" s="142">
        <f>SUM(I227:I234)</f>
        <v>10315</v>
      </c>
      <c r="J235" s="142">
        <f>SUM(J227:J234)</f>
        <v>10300</v>
      </c>
      <c r="K235" s="142">
        <f>SUM(K227:K234)</f>
        <v>10300</v>
      </c>
      <c r="L235" s="142">
        <f>SUM(L227:L234)</f>
        <v>10300</v>
      </c>
    </row>
    <row r="236" spans="1:12" ht="15" customHeight="1">
      <c r="A236" s="109"/>
      <c r="B236" s="109"/>
      <c r="C236" s="109"/>
      <c r="D236" s="84"/>
      <c r="E236" s="169"/>
      <c r="F236" s="169"/>
      <c r="G236" s="169"/>
      <c r="H236" s="169"/>
      <c r="I236" s="169"/>
      <c r="J236" s="169"/>
      <c r="K236" s="169"/>
      <c r="L236" s="169"/>
    </row>
    <row r="237" spans="1:12" ht="15" customHeight="1" hidden="1">
      <c r="A237" s="109"/>
      <c r="B237" s="109"/>
      <c r="C237" s="109"/>
      <c r="D237" s="84"/>
      <c r="E237" s="169"/>
      <c r="F237" s="169"/>
      <c r="G237" s="169"/>
      <c r="H237" s="169"/>
      <c r="I237" s="169"/>
      <c r="J237" s="169"/>
      <c r="K237" s="169"/>
      <c r="L237" s="169"/>
    </row>
    <row r="238" spans="1:12" ht="15" customHeight="1">
      <c r="A238" s="109"/>
      <c r="B238" s="109"/>
      <c r="C238" s="109"/>
      <c r="D238" s="84"/>
      <c r="E238" s="169"/>
      <c r="F238" s="169"/>
      <c r="G238" s="169"/>
      <c r="H238" s="169"/>
      <c r="I238" s="169"/>
      <c r="J238" s="169"/>
      <c r="K238" s="169"/>
      <c r="L238" s="169"/>
    </row>
    <row r="239" spans="1:12" ht="15" customHeight="1" thickBot="1">
      <c r="A239" s="109"/>
      <c r="B239" s="109"/>
      <c r="C239" s="109"/>
      <c r="D239" s="84"/>
      <c r="E239" s="169"/>
      <c r="F239" s="169"/>
      <c r="G239" s="169"/>
      <c r="H239" s="169"/>
      <c r="I239" s="169"/>
      <c r="J239" s="169"/>
      <c r="K239" s="169"/>
      <c r="L239" s="169"/>
    </row>
    <row r="240" spans="1:12" ht="18">
      <c r="A240" s="160" t="s">
        <v>2</v>
      </c>
      <c r="B240" s="160" t="s">
        <v>3</v>
      </c>
      <c r="C240" s="160" t="s">
        <v>219</v>
      </c>
      <c r="D240" s="209" t="s">
        <v>484</v>
      </c>
      <c r="E240" s="162" t="s">
        <v>489</v>
      </c>
      <c r="F240" s="162" t="s">
        <v>490</v>
      </c>
      <c r="G240" s="162" t="s">
        <v>6</v>
      </c>
      <c r="H240" s="162" t="s">
        <v>220</v>
      </c>
      <c r="I240" s="162" t="s">
        <v>458</v>
      </c>
      <c r="J240" s="162" t="s">
        <v>5</v>
      </c>
      <c r="K240" s="162" t="s">
        <v>5</v>
      </c>
      <c r="L240" s="162" t="s">
        <v>5</v>
      </c>
    </row>
    <row r="241" spans="1:12" ht="15.75" customHeight="1" thickBot="1">
      <c r="A241" s="163"/>
      <c r="B241" s="163"/>
      <c r="C241" s="163"/>
      <c r="D241" s="164"/>
      <c r="E241" s="166">
        <v>2010</v>
      </c>
      <c r="F241" s="166">
        <v>2010</v>
      </c>
      <c r="G241" s="166" t="s">
        <v>22</v>
      </c>
      <c r="H241" s="165" t="s">
        <v>221</v>
      </c>
      <c r="I241" s="166">
        <v>2010</v>
      </c>
      <c r="J241" s="166">
        <v>2011</v>
      </c>
      <c r="K241" s="166">
        <v>2012</v>
      </c>
      <c r="L241" s="166" t="s">
        <v>459</v>
      </c>
    </row>
    <row r="242" spans="1:12" ht="16.5" customHeight="1" thickTop="1">
      <c r="A242" s="88">
        <v>90</v>
      </c>
      <c r="B242" s="88"/>
      <c r="C242" s="88"/>
      <c r="D242" s="89" t="s">
        <v>185</v>
      </c>
      <c r="E242" s="146"/>
      <c r="F242" s="146"/>
      <c r="G242" s="146"/>
      <c r="H242" s="146"/>
      <c r="I242" s="146"/>
      <c r="J242" s="146"/>
      <c r="K242" s="146"/>
      <c r="L242" s="146"/>
    </row>
    <row r="243" spans="1:12" ht="15.75">
      <c r="A243" s="88"/>
      <c r="B243" s="88"/>
      <c r="C243" s="88"/>
      <c r="D243" s="89"/>
      <c r="E243" s="146"/>
      <c r="F243" s="146"/>
      <c r="G243" s="146"/>
      <c r="H243" s="146"/>
      <c r="I243" s="146"/>
      <c r="J243" s="146"/>
      <c r="K243" s="146"/>
      <c r="L243" s="146"/>
    </row>
    <row r="244" spans="1:12" ht="15">
      <c r="A244" s="107"/>
      <c r="B244" s="107"/>
      <c r="C244" s="107">
        <v>4121</v>
      </c>
      <c r="D244" s="107" t="s">
        <v>368</v>
      </c>
      <c r="E244" s="174">
        <v>300</v>
      </c>
      <c r="F244" s="174">
        <v>300</v>
      </c>
      <c r="G244" s="174">
        <v>225</v>
      </c>
      <c r="H244" s="134">
        <f aca="true" t="shared" si="5" ref="H244:H249">(G244/F244)*100</f>
        <v>75</v>
      </c>
      <c r="I244" s="174">
        <v>300</v>
      </c>
      <c r="J244" s="174">
        <v>300</v>
      </c>
      <c r="K244" s="174">
        <v>300</v>
      </c>
      <c r="L244" s="174">
        <v>300</v>
      </c>
    </row>
    <row r="245" spans="1:12" ht="15">
      <c r="A245" s="48"/>
      <c r="B245" s="48">
        <v>5311</v>
      </c>
      <c r="C245" s="48">
        <v>2111</v>
      </c>
      <c r="D245" s="48" t="s">
        <v>242</v>
      </c>
      <c r="E245" s="175">
        <v>700</v>
      </c>
      <c r="F245" s="175">
        <v>700</v>
      </c>
      <c r="G245" s="175">
        <v>587.4</v>
      </c>
      <c r="H245" s="134">
        <f t="shared" si="5"/>
        <v>83.91428571428571</v>
      </c>
      <c r="I245" s="175">
        <v>700</v>
      </c>
      <c r="J245" s="175">
        <v>650</v>
      </c>
      <c r="K245" s="175">
        <v>650</v>
      </c>
      <c r="L245" s="175">
        <v>650</v>
      </c>
    </row>
    <row r="246" spans="1:12" ht="15">
      <c r="A246" s="48"/>
      <c r="B246" s="48">
        <v>5311</v>
      </c>
      <c r="C246" s="48">
        <v>2212</v>
      </c>
      <c r="D246" s="48" t="s">
        <v>364</v>
      </c>
      <c r="E246" s="176">
        <v>1800</v>
      </c>
      <c r="F246" s="176">
        <v>1800</v>
      </c>
      <c r="G246" s="176">
        <v>896.9</v>
      </c>
      <c r="H246" s="134">
        <f t="shared" si="5"/>
        <v>49.827777777777776</v>
      </c>
      <c r="I246" s="176">
        <v>1250</v>
      </c>
      <c r="J246" s="176">
        <v>1200</v>
      </c>
      <c r="K246" s="176">
        <v>1200</v>
      </c>
      <c r="L246" s="176">
        <v>1250</v>
      </c>
    </row>
    <row r="247" spans="1:12" ht="15" hidden="1">
      <c r="A247" s="91"/>
      <c r="B247" s="91">
        <v>5311</v>
      </c>
      <c r="C247" s="91">
        <v>2310</v>
      </c>
      <c r="D247" s="91" t="s">
        <v>369</v>
      </c>
      <c r="E247" s="135"/>
      <c r="F247" s="135"/>
      <c r="G247" s="135"/>
      <c r="H247" s="134" t="e">
        <f t="shared" si="5"/>
        <v>#DIV/0!</v>
      </c>
      <c r="I247" s="135"/>
      <c r="J247" s="135"/>
      <c r="K247" s="135"/>
      <c r="L247" s="135"/>
    </row>
    <row r="248" spans="1:12" ht="15" hidden="1">
      <c r="A248" s="48"/>
      <c r="B248" s="48">
        <v>5311</v>
      </c>
      <c r="C248" s="48">
        <v>2324</v>
      </c>
      <c r="D248" s="48" t="s">
        <v>365</v>
      </c>
      <c r="E248" s="134">
        <v>0</v>
      </c>
      <c r="F248" s="134">
        <v>0</v>
      </c>
      <c r="G248" s="134">
        <v>40</v>
      </c>
      <c r="H248" s="134" t="e">
        <f t="shared" si="5"/>
        <v>#DIV/0!</v>
      </c>
      <c r="I248" s="134">
        <v>0</v>
      </c>
      <c r="J248" s="134">
        <v>0</v>
      </c>
      <c r="K248" s="134">
        <v>0</v>
      </c>
      <c r="L248" s="134">
        <v>0</v>
      </c>
    </row>
    <row r="249" spans="1:12" ht="15" hidden="1">
      <c r="A249" s="91"/>
      <c r="B249" s="91">
        <v>6409</v>
      </c>
      <c r="C249" s="91">
        <v>2328</v>
      </c>
      <c r="D249" s="91" t="s">
        <v>370</v>
      </c>
      <c r="E249" s="135">
        <v>0</v>
      </c>
      <c r="F249" s="135">
        <v>0</v>
      </c>
      <c r="G249" s="135">
        <v>0</v>
      </c>
      <c r="H249" s="134" t="e">
        <f t="shared" si="5"/>
        <v>#DIV/0!</v>
      </c>
      <c r="I249" s="135">
        <v>0</v>
      </c>
      <c r="J249" s="135">
        <v>0</v>
      </c>
      <c r="K249" s="135">
        <v>0</v>
      </c>
      <c r="L249" s="135">
        <v>0</v>
      </c>
    </row>
    <row r="250" spans="1:12" ht="15.75" thickBot="1">
      <c r="A250" s="112"/>
      <c r="B250" s="112"/>
      <c r="C250" s="112"/>
      <c r="D250" s="112"/>
      <c r="E250" s="141"/>
      <c r="F250" s="141"/>
      <c r="G250" s="141"/>
      <c r="H250" s="141"/>
      <c r="I250" s="141"/>
      <c r="J250" s="141"/>
      <c r="K250" s="141"/>
      <c r="L250" s="141"/>
    </row>
    <row r="251" spans="1:12" s="77" customFormat="1" ht="21.75" customHeight="1" thickBot="1" thickTop="1">
      <c r="A251" s="114"/>
      <c r="B251" s="114"/>
      <c r="C251" s="114"/>
      <c r="D251" s="115" t="s">
        <v>371</v>
      </c>
      <c r="E251" s="142">
        <f>SUM(E244:E250)</f>
        <v>2800</v>
      </c>
      <c r="F251" s="142">
        <f>SUM(F244:F250)</f>
        <v>2800</v>
      </c>
      <c r="G251" s="142">
        <f>SUM(G244:G250)</f>
        <v>1749.3</v>
      </c>
      <c r="H251" s="143">
        <f>(G251/F251)*100</f>
        <v>62.475</v>
      </c>
      <c r="I251" s="142">
        <f>SUM(I244:I250)</f>
        <v>2250</v>
      </c>
      <c r="J251" s="142">
        <f>SUM(J244:J250)</f>
        <v>2150</v>
      </c>
      <c r="K251" s="142">
        <f>SUM(K244:K250)</f>
        <v>2150</v>
      </c>
      <c r="L251" s="142">
        <f>SUM(L244:L250)</f>
        <v>2200</v>
      </c>
    </row>
    <row r="252" spans="1:12" ht="15" customHeight="1">
      <c r="A252" s="109"/>
      <c r="B252" s="109"/>
      <c r="C252" s="109"/>
      <c r="D252" s="84"/>
      <c r="E252" s="169"/>
      <c r="F252" s="169"/>
      <c r="G252" s="169"/>
      <c r="H252" s="169"/>
      <c r="I252" s="169"/>
      <c r="J252" s="169"/>
      <c r="K252" s="169"/>
      <c r="L252" s="169"/>
    </row>
    <row r="253" spans="1:12" ht="15" customHeight="1" hidden="1">
      <c r="A253" s="109"/>
      <c r="B253" s="109"/>
      <c r="C253" s="109"/>
      <c r="D253" s="84"/>
      <c r="E253" s="169"/>
      <c r="F253" s="169"/>
      <c r="G253" s="169"/>
      <c r="H253" s="169"/>
      <c r="I253" s="169"/>
      <c r="J253" s="169"/>
      <c r="K253" s="169"/>
      <c r="L253" s="169"/>
    </row>
    <row r="254" spans="1:12" ht="15" customHeight="1" hidden="1">
      <c r="A254" s="109"/>
      <c r="B254" s="109"/>
      <c r="C254" s="109"/>
      <c r="D254" s="84"/>
      <c r="E254" s="169"/>
      <c r="F254" s="169"/>
      <c r="G254" s="169"/>
      <c r="H254" s="169"/>
      <c r="I254" s="169"/>
      <c r="J254" s="169"/>
      <c r="K254" s="169"/>
      <c r="L254" s="169"/>
    </row>
    <row r="255" spans="1:12" ht="15" customHeight="1" hidden="1">
      <c r="A255" s="109"/>
      <c r="B255" s="109"/>
      <c r="C255" s="109"/>
      <c r="D255" s="84"/>
      <c r="E255" s="169"/>
      <c r="F255" s="169"/>
      <c r="G255" s="169"/>
      <c r="H255" s="169"/>
      <c r="I255" s="169"/>
      <c r="J255" s="169"/>
      <c r="K255" s="169"/>
      <c r="L255" s="169"/>
    </row>
    <row r="256" spans="1:12" ht="15" customHeight="1" hidden="1">
      <c r="A256" s="109"/>
      <c r="B256" s="109"/>
      <c r="C256" s="109"/>
      <c r="D256" s="84"/>
      <c r="E256" s="169"/>
      <c r="F256" s="169"/>
      <c r="G256" s="169"/>
      <c r="H256" s="169"/>
      <c r="I256" s="169"/>
      <c r="J256" s="169"/>
      <c r="K256" s="169"/>
      <c r="L256" s="169"/>
    </row>
    <row r="257" spans="1:12" ht="15" customHeight="1" hidden="1">
      <c r="A257" s="109"/>
      <c r="B257" s="109"/>
      <c r="C257" s="109"/>
      <c r="D257" s="84"/>
      <c r="E257" s="169"/>
      <c r="F257" s="169"/>
      <c r="G257" s="169"/>
      <c r="H257" s="169"/>
      <c r="I257" s="169"/>
      <c r="J257" s="169"/>
      <c r="K257" s="169"/>
      <c r="L257" s="169"/>
    </row>
    <row r="258" spans="1:12" ht="15" customHeight="1" hidden="1">
      <c r="A258" s="109"/>
      <c r="B258" s="109"/>
      <c r="C258" s="109"/>
      <c r="D258" s="84"/>
      <c r="E258" s="169"/>
      <c r="F258" s="169"/>
      <c r="G258" s="169"/>
      <c r="H258" s="169"/>
      <c r="I258" s="169"/>
      <c r="J258" s="169"/>
      <c r="K258" s="169"/>
      <c r="L258" s="169"/>
    </row>
    <row r="259" spans="1:12" ht="15" customHeight="1">
      <c r="A259" s="109"/>
      <c r="B259" s="109"/>
      <c r="C259" s="109"/>
      <c r="D259" s="84"/>
      <c r="E259" s="169"/>
      <c r="F259" s="169"/>
      <c r="G259" s="170"/>
      <c r="H259" s="170"/>
      <c r="I259" s="169"/>
      <c r="J259" s="169"/>
      <c r="K259" s="169"/>
      <c r="L259" s="169"/>
    </row>
    <row r="260" spans="1:12" ht="15" customHeight="1" hidden="1">
      <c r="A260" s="109"/>
      <c r="B260" s="109"/>
      <c r="C260" s="109"/>
      <c r="D260" s="84"/>
      <c r="E260" s="169"/>
      <c r="F260" s="169"/>
      <c r="G260" s="170"/>
      <c r="H260" s="170"/>
      <c r="I260" s="169"/>
      <c r="J260" s="169"/>
      <c r="K260" s="169"/>
      <c r="L260" s="169"/>
    </row>
    <row r="261" spans="1:12" ht="15" customHeight="1">
      <c r="A261" s="109"/>
      <c r="B261" s="109"/>
      <c r="C261" s="109"/>
      <c r="D261" s="84"/>
      <c r="E261" s="169"/>
      <c r="F261" s="169"/>
      <c r="G261" s="170"/>
      <c r="H261" s="170"/>
      <c r="I261" s="169"/>
      <c r="J261" s="169"/>
      <c r="K261" s="169"/>
      <c r="L261" s="169"/>
    </row>
    <row r="262" spans="1:12" ht="15" customHeight="1">
      <c r="A262" s="109"/>
      <c r="B262" s="109"/>
      <c r="C262" s="109"/>
      <c r="D262" s="84"/>
      <c r="E262" s="169"/>
      <c r="F262" s="169"/>
      <c r="G262" s="169"/>
      <c r="H262" s="169"/>
      <c r="I262" s="169"/>
      <c r="J262" s="169"/>
      <c r="K262" s="169"/>
      <c r="L262" s="169"/>
    </row>
    <row r="263" spans="1:12" ht="15" customHeight="1">
      <c r="A263" s="109"/>
      <c r="B263" s="109"/>
      <c r="C263" s="109"/>
      <c r="D263" s="84"/>
      <c r="E263" s="169"/>
      <c r="F263" s="169"/>
      <c r="G263" s="169"/>
      <c r="H263" s="169"/>
      <c r="I263" s="169"/>
      <c r="J263" s="169"/>
      <c r="K263" s="169"/>
      <c r="L263" s="169"/>
    </row>
    <row r="264" spans="1:12" ht="15" customHeight="1" thickBot="1">
      <c r="A264" s="109"/>
      <c r="B264" s="109"/>
      <c r="C264" s="109"/>
      <c r="D264" s="84"/>
      <c r="E264" s="169"/>
      <c r="F264" s="169"/>
      <c r="G264" s="169"/>
      <c r="H264" s="169"/>
      <c r="I264" s="169"/>
      <c r="J264" s="169"/>
      <c r="K264" s="169"/>
      <c r="L264" s="169"/>
    </row>
    <row r="265" spans="1:12" ht="18">
      <c r="A265" s="160" t="s">
        <v>2</v>
      </c>
      <c r="B265" s="160" t="s">
        <v>3</v>
      </c>
      <c r="C265" s="160" t="s">
        <v>219</v>
      </c>
      <c r="D265" s="209" t="s">
        <v>484</v>
      </c>
      <c r="E265" s="162" t="s">
        <v>489</v>
      </c>
      <c r="F265" s="162" t="s">
        <v>490</v>
      </c>
      <c r="G265" s="162" t="s">
        <v>6</v>
      </c>
      <c r="H265" s="162" t="s">
        <v>220</v>
      </c>
      <c r="I265" s="162" t="s">
        <v>458</v>
      </c>
      <c r="J265" s="162" t="s">
        <v>5</v>
      </c>
      <c r="K265" s="162" t="s">
        <v>5</v>
      </c>
      <c r="L265" s="162" t="s">
        <v>5</v>
      </c>
    </row>
    <row r="266" spans="1:12" ht="15.75" customHeight="1" thickBot="1">
      <c r="A266" s="163"/>
      <c r="B266" s="163"/>
      <c r="C266" s="163"/>
      <c r="D266" s="164"/>
      <c r="E266" s="166">
        <v>2010</v>
      </c>
      <c r="F266" s="166">
        <v>2010</v>
      </c>
      <c r="G266" s="166" t="s">
        <v>22</v>
      </c>
      <c r="H266" s="165" t="s">
        <v>221</v>
      </c>
      <c r="I266" s="166">
        <v>2010</v>
      </c>
      <c r="J266" s="166">
        <v>2011</v>
      </c>
      <c r="K266" s="166">
        <v>2012</v>
      </c>
      <c r="L266" s="166" t="s">
        <v>459</v>
      </c>
    </row>
    <row r="267" spans="1:12" ht="15.75" customHeight="1" thickTop="1">
      <c r="A267" s="88">
        <v>100</v>
      </c>
      <c r="B267" s="88"/>
      <c r="C267" s="88"/>
      <c r="D267" s="89" t="s">
        <v>188</v>
      </c>
      <c r="E267" s="146"/>
      <c r="F267" s="146"/>
      <c r="G267" s="146"/>
      <c r="H267" s="146"/>
      <c r="I267" s="146"/>
      <c r="J267" s="146"/>
      <c r="K267" s="146"/>
      <c r="L267" s="146"/>
    </row>
    <row r="268" spans="1:12" ht="15">
      <c r="A268" s="48"/>
      <c r="B268" s="48"/>
      <c r="C268" s="48"/>
      <c r="D268" s="48"/>
      <c r="E268" s="134"/>
      <c r="F268" s="134"/>
      <c r="G268" s="134"/>
      <c r="H268" s="134"/>
      <c r="I268" s="134"/>
      <c r="J268" s="134"/>
      <c r="K268" s="134"/>
      <c r="L268" s="134"/>
    </row>
    <row r="269" spans="1:12" ht="15">
      <c r="A269" s="48"/>
      <c r="B269" s="48"/>
      <c r="C269" s="48">
        <v>1361</v>
      </c>
      <c r="D269" s="48" t="s">
        <v>224</v>
      </c>
      <c r="E269" s="134">
        <v>700</v>
      </c>
      <c r="F269" s="134">
        <v>700</v>
      </c>
      <c r="G269" s="134">
        <v>359.9</v>
      </c>
      <c r="H269" s="134">
        <f>(G269/F269)*100</f>
        <v>51.41428571428571</v>
      </c>
      <c r="I269" s="134">
        <v>460</v>
      </c>
      <c r="J269" s="134">
        <v>400</v>
      </c>
      <c r="K269" s="134">
        <v>400</v>
      </c>
      <c r="L269" s="134">
        <v>400</v>
      </c>
    </row>
    <row r="270" spans="1:12" ht="15.75" hidden="1">
      <c r="A270" s="56"/>
      <c r="B270" s="56"/>
      <c r="C270" s="48">
        <v>4216</v>
      </c>
      <c r="D270" s="48" t="s">
        <v>372</v>
      </c>
      <c r="E270" s="134">
        <v>0</v>
      </c>
      <c r="F270" s="134">
        <v>0</v>
      </c>
      <c r="G270" s="134"/>
      <c r="H270" s="134" t="e">
        <f>(G270/F270)*100</f>
        <v>#DIV/0!</v>
      </c>
      <c r="I270" s="134"/>
      <c r="J270" s="134"/>
      <c r="K270" s="134"/>
      <c r="L270" s="134"/>
    </row>
    <row r="271" spans="1:12" ht="15">
      <c r="A271" s="48"/>
      <c r="B271" s="48">
        <v>2169</v>
      </c>
      <c r="C271" s="48">
        <v>2212</v>
      </c>
      <c r="D271" s="48" t="s">
        <v>364</v>
      </c>
      <c r="E271" s="134">
        <v>500</v>
      </c>
      <c r="F271" s="134">
        <v>500</v>
      </c>
      <c r="G271" s="134">
        <v>116</v>
      </c>
      <c r="H271" s="134">
        <f>(G271/F271)*100</f>
        <v>23.200000000000003</v>
      </c>
      <c r="I271" s="134">
        <v>200</v>
      </c>
      <c r="J271" s="134">
        <v>200</v>
      </c>
      <c r="K271" s="134">
        <v>200</v>
      </c>
      <c r="L271" s="134">
        <v>200</v>
      </c>
    </row>
    <row r="272" spans="1:12" ht="15">
      <c r="A272" s="91"/>
      <c r="B272" s="91">
        <v>3635</v>
      </c>
      <c r="C272" s="91">
        <v>3122</v>
      </c>
      <c r="D272" s="48" t="s">
        <v>373</v>
      </c>
      <c r="E272" s="134">
        <v>0</v>
      </c>
      <c r="F272" s="134">
        <v>0</v>
      </c>
      <c r="G272" s="134">
        <v>146.3</v>
      </c>
      <c r="H272" s="134" t="e">
        <f>(G272/F272)*100</f>
        <v>#DIV/0!</v>
      </c>
      <c r="I272" s="134">
        <v>146.3</v>
      </c>
      <c r="J272" s="134">
        <v>0</v>
      </c>
      <c r="K272" s="134">
        <v>0</v>
      </c>
      <c r="L272" s="134">
        <v>0</v>
      </c>
    </row>
    <row r="273" spans="1:12" ht="15">
      <c r="A273" s="91"/>
      <c r="B273" s="91">
        <v>6171</v>
      </c>
      <c r="C273" s="91">
        <v>2324</v>
      </c>
      <c r="D273" s="48" t="s">
        <v>365</v>
      </c>
      <c r="E273" s="147">
        <v>0</v>
      </c>
      <c r="F273" s="147">
        <v>0</v>
      </c>
      <c r="G273" s="147">
        <v>4</v>
      </c>
      <c r="H273" s="134" t="e">
        <f>(G273/F273)*100</f>
        <v>#DIV/0!</v>
      </c>
      <c r="I273" s="147">
        <v>4</v>
      </c>
      <c r="J273" s="147">
        <v>0</v>
      </c>
      <c r="K273" s="147">
        <v>0</v>
      </c>
      <c r="L273" s="147">
        <v>0</v>
      </c>
    </row>
    <row r="274" spans="1:12" ht="15" customHeight="1" thickBot="1">
      <c r="A274" s="112"/>
      <c r="B274" s="112"/>
      <c r="C274" s="112"/>
      <c r="D274" s="112"/>
      <c r="E274" s="141"/>
      <c r="F274" s="141"/>
      <c r="G274" s="141"/>
      <c r="H274" s="141"/>
      <c r="I274" s="141"/>
      <c r="J274" s="141"/>
      <c r="K274" s="141"/>
      <c r="L274" s="141"/>
    </row>
    <row r="275" spans="1:12" s="77" customFormat="1" ht="21.75" customHeight="1" thickBot="1" thickTop="1">
      <c r="A275" s="114"/>
      <c r="B275" s="114"/>
      <c r="C275" s="114"/>
      <c r="D275" s="115" t="s">
        <v>374</v>
      </c>
      <c r="E275" s="142">
        <f>SUM(E267:E273)</f>
        <v>1200</v>
      </c>
      <c r="F275" s="142">
        <f>SUM(F267:F273)</f>
        <v>1200</v>
      </c>
      <c r="G275" s="142">
        <f>SUM(G267:G273)</f>
        <v>626.2</v>
      </c>
      <c r="H275" s="143">
        <f>(G275/F275)*100</f>
        <v>52.18333333333334</v>
      </c>
      <c r="I275" s="142">
        <f>SUM(I267:I273)</f>
        <v>810.3</v>
      </c>
      <c r="J275" s="142">
        <f>SUM(J267:J273)</f>
        <v>600</v>
      </c>
      <c r="K275" s="142">
        <f>SUM(K267:K273)</f>
        <v>600</v>
      </c>
      <c r="L275" s="142">
        <f>SUM(L267:L273)</f>
        <v>600</v>
      </c>
    </row>
    <row r="276" spans="1:12" ht="15" customHeight="1">
      <c r="A276" s="109"/>
      <c r="B276" s="109"/>
      <c r="C276" s="109"/>
      <c r="D276" s="84"/>
      <c r="E276" s="169"/>
      <c r="F276" s="169"/>
      <c r="G276" s="169"/>
      <c r="H276" s="169"/>
      <c r="I276" s="169"/>
      <c r="J276" s="169"/>
      <c r="K276" s="169"/>
      <c r="L276" s="169"/>
    </row>
    <row r="277" spans="1:12" ht="14.25" customHeight="1">
      <c r="A277" s="109"/>
      <c r="B277" s="109"/>
      <c r="C277" s="109"/>
      <c r="D277" s="84"/>
      <c r="E277" s="169"/>
      <c r="F277" s="169"/>
      <c r="G277" s="169"/>
      <c r="H277" s="169"/>
      <c r="I277" s="169"/>
      <c r="J277" s="169"/>
      <c r="K277" s="169"/>
      <c r="L277" s="169"/>
    </row>
    <row r="278" spans="1:12" ht="15" customHeight="1" hidden="1">
      <c r="A278" s="109"/>
      <c r="B278" s="109"/>
      <c r="C278" s="109"/>
      <c r="D278" s="84"/>
      <c r="E278" s="169"/>
      <c r="F278" s="169"/>
      <c r="G278" s="169"/>
      <c r="H278" s="169"/>
      <c r="I278" s="169"/>
      <c r="J278" s="169"/>
      <c r="K278" s="169"/>
      <c r="L278" s="169"/>
    </row>
    <row r="279" spans="1:12" ht="15" customHeight="1" thickBot="1">
      <c r="A279" s="109"/>
      <c r="B279" s="109"/>
      <c r="C279" s="109"/>
      <c r="D279" s="84"/>
      <c r="E279" s="169"/>
      <c r="F279" s="169"/>
      <c r="G279" s="169"/>
      <c r="H279" s="169"/>
      <c r="I279" s="169"/>
      <c r="J279" s="169"/>
      <c r="K279" s="169"/>
      <c r="L279" s="169"/>
    </row>
    <row r="280" spans="1:12" ht="18">
      <c r="A280" s="160" t="s">
        <v>2</v>
      </c>
      <c r="B280" s="160" t="s">
        <v>3</v>
      </c>
      <c r="C280" s="160" t="s">
        <v>219</v>
      </c>
      <c r="D280" s="209" t="s">
        <v>484</v>
      </c>
      <c r="E280" s="162" t="s">
        <v>489</v>
      </c>
      <c r="F280" s="162" t="s">
        <v>490</v>
      </c>
      <c r="G280" s="162" t="s">
        <v>6</v>
      </c>
      <c r="H280" s="162" t="s">
        <v>220</v>
      </c>
      <c r="I280" s="162" t="s">
        <v>458</v>
      </c>
      <c r="J280" s="162" t="s">
        <v>5</v>
      </c>
      <c r="K280" s="162" t="s">
        <v>5</v>
      </c>
      <c r="L280" s="162" t="s">
        <v>5</v>
      </c>
    </row>
    <row r="281" spans="1:12" ht="15.75" customHeight="1" thickBot="1">
      <c r="A281" s="163"/>
      <c r="B281" s="163"/>
      <c r="C281" s="163"/>
      <c r="D281" s="164"/>
      <c r="E281" s="166">
        <v>2010</v>
      </c>
      <c r="F281" s="166">
        <v>2010</v>
      </c>
      <c r="G281" s="166" t="s">
        <v>22</v>
      </c>
      <c r="H281" s="165" t="s">
        <v>221</v>
      </c>
      <c r="I281" s="166">
        <v>2010</v>
      </c>
      <c r="J281" s="166">
        <v>2011</v>
      </c>
      <c r="K281" s="166">
        <v>2012</v>
      </c>
      <c r="L281" s="166" t="s">
        <v>459</v>
      </c>
    </row>
    <row r="282" spans="1:12" ht="15.75" customHeight="1" thickTop="1">
      <c r="A282" s="117">
        <v>110</v>
      </c>
      <c r="B282" s="56"/>
      <c r="C282" s="56"/>
      <c r="D282" s="56" t="s">
        <v>191</v>
      </c>
      <c r="E282" s="146"/>
      <c r="F282" s="146"/>
      <c r="G282" s="146"/>
      <c r="H282" s="146"/>
      <c r="I282" s="146"/>
      <c r="J282" s="146"/>
      <c r="K282" s="146"/>
      <c r="L282" s="146"/>
    </row>
    <row r="283" spans="1:12" ht="15.75">
      <c r="A283" s="117"/>
      <c r="B283" s="56"/>
      <c r="C283" s="56"/>
      <c r="D283" s="56"/>
      <c r="E283" s="146"/>
      <c r="F283" s="146"/>
      <c r="G283" s="146"/>
      <c r="H283" s="146"/>
      <c r="I283" s="146"/>
      <c r="J283" s="146"/>
      <c r="K283" s="146"/>
      <c r="L283" s="146"/>
    </row>
    <row r="284" spans="1:12" ht="15">
      <c r="A284" s="48"/>
      <c r="B284" s="48"/>
      <c r="C284" s="48">
        <v>1111</v>
      </c>
      <c r="D284" s="48" t="s">
        <v>375</v>
      </c>
      <c r="E284" s="173">
        <v>45000</v>
      </c>
      <c r="F284" s="173">
        <v>45000</v>
      </c>
      <c r="G284" s="173">
        <v>27306.8</v>
      </c>
      <c r="H284" s="134">
        <f aca="true" t="shared" si="6" ref="H284:H309">(G284/F284)*100</f>
        <v>60.68177777777778</v>
      </c>
      <c r="I284" s="173">
        <v>42820</v>
      </c>
      <c r="J284" s="173">
        <v>48150</v>
      </c>
      <c r="K284" s="173">
        <v>50400</v>
      </c>
      <c r="L284" s="173">
        <v>52100</v>
      </c>
    </row>
    <row r="285" spans="1:12" ht="15">
      <c r="A285" s="48"/>
      <c r="B285" s="48"/>
      <c r="C285" s="48">
        <v>1112</v>
      </c>
      <c r="D285" s="48" t="s">
        <v>376</v>
      </c>
      <c r="E285" s="172">
        <v>15500</v>
      </c>
      <c r="F285" s="172">
        <v>15500</v>
      </c>
      <c r="G285" s="172">
        <v>8818.2</v>
      </c>
      <c r="H285" s="134">
        <f t="shared" si="6"/>
        <v>56.891612903225806</v>
      </c>
      <c r="I285" s="172">
        <v>12500</v>
      </c>
      <c r="J285" s="172">
        <v>11210</v>
      </c>
      <c r="K285" s="172">
        <v>11640</v>
      </c>
      <c r="L285" s="172">
        <v>11380</v>
      </c>
    </row>
    <row r="286" spans="1:12" ht="15">
      <c r="A286" s="48"/>
      <c r="B286" s="48"/>
      <c r="C286" s="48">
        <v>1113</v>
      </c>
      <c r="D286" s="48" t="s">
        <v>377</v>
      </c>
      <c r="E286" s="172">
        <v>3300</v>
      </c>
      <c r="F286" s="172">
        <v>3300</v>
      </c>
      <c r="G286" s="172">
        <v>2409.9</v>
      </c>
      <c r="H286" s="134">
        <f t="shared" si="6"/>
        <v>73.02727272727273</v>
      </c>
      <c r="I286" s="172">
        <v>3300</v>
      </c>
      <c r="J286" s="172">
        <v>6830</v>
      </c>
      <c r="K286" s="172">
        <v>4660</v>
      </c>
      <c r="L286" s="172">
        <v>4500</v>
      </c>
    </row>
    <row r="287" spans="1:12" ht="15">
      <c r="A287" s="48"/>
      <c r="B287" s="48"/>
      <c r="C287" s="48">
        <v>1121</v>
      </c>
      <c r="D287" s="48" t="s">
        <v>378</v>
      </c>
      <c r="E287" s="172">
        <v>54000</v>
      </c>
      <c r="F287" s="172">
        <v>54000</v>
      </c>
      <c r="G287" s="173">
        <v>33619</v>
      </c>
      <c r="H287" s="134">
        <f t="shared" si="6"/>
        <v>62.257407407407406</v>
      </c>
      <c r="I287" s="172">
        <v>49000</v>
      </c>
      <c r="J287" s="172">
        <f>41900+1000</f>
        <v>42900</v>
      </c>
      <c r="K287" s="172">
        <v>44500</v>
      </c>
      <c r="L287" s="172">
        <v>45500</v>
      </c>
    </row>
    <row r="288" spans="1:12" ht="15">
      <c r="A288" s="48"/>
      <c r="B288" s="48"/>
      <c r="C288" s="48">
        <v>1122</v>
      </c>
      <c r="D288" s="48" t="s">
        <v>379</v>
      </c>
      <c r="E288" s="173">
        <v>75300</v>
      </c>
      <c r="F288" s="173">
        <v>72131</v>
      </c>
      <c r="G288" s="173">
        <v>72131</v>
      </c>
      <c r="H288" s="173">
        <v>72131</v>
      </c>
      <c r="I288" s="173">
        <v>72131</v>
      </c>
      <c r="J288" s="173">
        <v>10500</v>
      </c>
      <c r="K288" s="173">
        <v>10000</v>
      </c>
      <c r="L288" s="173">
        <v>10000</v>
      </c>
    </row>
    <row r="289" spans="1:12" ht="15">
      <c r="A289" s="48"/>
      <c r="B289" s="48"/>
      <c r="C289" s="48">
        <v>1211</v>
      </c>
      <c r="D289" s="48" t="s">
        <v>380</v>
      </c>
      <c r="E289" s="173">
        <v>92000</v>
      </c>
      <c r="F289" s="173">
        <v>92000</v>
      </c>
      <c r="G289" s="173">
        <v>66306.2</v>
      </c>
      <c r="H289" s="134">
        <f t="shared" si="6"/>
        <v>72.07195652173912</v>
      </c>
      <c r="I289" s="173">
        <v>92000</v>
      </c>
      <c r="J289" s="173">
        <f>96000+1000</f>
        <v>97000</v>
      </c>
      <c r="K289" s="173">
        <v>100000</v>
      </c>
      <c r="L289" s="173">
        <v>104000</v>
      </c>
    </row>
    <row r="290" spans="1:12" ht="15" hidden="1">
      <c r="A290" s="48"/>
      <c r="B290" s="48"/>
      <c r="C290" s="48">
        <v>1335</v>
      </c>
      <c r="D290" s="48" t="s">
        <v>381</v>
      </c>
      <c r="E290" s="173"/>
      <c r="F290" s="173"/>
      <c r="G290" s="173"/>
      <c r="H290" s="134" t="e">
        <f t="shared" si="6"/>
        <v>#DIV/0!</v>
      </c>
      <c r="I290" s="173"/>
      <c r="J290" s="173"/>
      <c r="K290" s="173"/>
      <c r="L290" s="173"/>
    </row>
    <row r="291" spans="1:12" ht="15" hidden="1">
      <c r="A291" s="48"/>
      <c r="B291" s="48"/>
      <c r="C291" s="48">
        <v>1219</v>
      </c>
      <c r="D291" s="48" t="s">
        <v>382</v>
      </c>
      <c r="E291" s="173"/>
      <c r="F291" s="173"/>
      <c r="G291" s="173"/>
      <c r="H291" s="134" t="e">
        <f t="shared" si="6"/>
        <v>#DIV/0!</v>
      </c>
      <c r="I291" s="173"/>
      <c r="J291" s="173"/>
      <c r="K291" s="173"/>
      <c r="L291" s="173"/>
    </row>
    <row r="292" spans="1:12" ht="15">
      <c r="A292" s="48"/>
      <c r="B292" s="48"/>
      <c r="C292" s="48">
        <v>1337</v>
      </c>
      <c r="D292" s="48" t="s">
        <v>383</v>
      </c>
      <c r="E292" s="172">
        <v>10300</v>
      </c>
      <c r="F292" s="172">
        <v>10300</v>
      </c>
      <c r="G292" s="172">
        <v>9828</v>
      </c>
      <c r="H292" s="134">
        <f t="shared" si="6"/>
        <v>95.41747572815534</v>
      </c>
      <c r="I292" s="172">
        <v>10500</v>
      </c>
      <c r="J292" s="172">
        <v>10300</v>
      </c>
      <c r="K292" s="172">
        <v>10300</v>
      </c>
      <c r="L292" s="172">
        <v>10300</v>
      </c>
    </row>
    <row r="293" spans="1:12" ht="15">
      <c r="A293" s="48"/>
      <c r="B293" s="48"/>
      <c r="C293" s="48">
        <v>1341</v>
      </c>
      <c r="D293" s="48" t="s">
        <v>384</v>
      </c>
      <c r="E293" s="44">
        <v>1000</v>
      </c>
      <c r="F293" s="44">
        <v>1000</v>
      </c>
      <c r="G293" s="44">
        <v>901.9</v>
      </c>
      <c r="H293" s="134">
        <f t="shared" si="6"/>
        <v>90.19</v>
      </c>
      <c r="I293" s="44">
        <v>950</v>
      </c>
      <c r="J293" s="44">
        <v>950</v>
      </c>
      <c r="K293" s="44">
        <v>950</v>
      </c>
      <c r="L293" s="44">
        <v>950</v>
      </c>
    </row>
    <row r="294" spans="1:12" ht="15">
      <c r="A294" s="48"/>
      <c r="B294" s="48"/>
      <c r="C294" s="48">
        <v>1347</v>
      </c>
      <c r="D294" s="48" t="s">
        <v>476</v>
      </c>
      <c r="E294" s="44">
        <v>3600</v>
      </c>
      <c r="F294" s="44">
        <v>3600</v>
      </c>
      <c r="G294" s="44">
        <v>2228.1</v>
      </c>
      <c r="H294" s="134">
        <f t="shared" si="6"/>
        <v>61.891666666666666</v>
      </c>
      <c r="I294" s="44">
        <v>3000</v>
      </c>
      <c r="J294" s="44">
        <f>2000+3000+900</f>
        <v>5900</v>
      </c>
      <c r="K294" s="44">
        <v>1500</v>
      </c>
      <c r="L294" s="44">
        <v>1500</v>
      </c>
    </row>
    <row r="295" spans="1:12" ht="15" hidden="1">
      <c r="A295" s="48"/>
      <c r="B295" s="48"/>
      <c r="C295" s="48">
        <v>1349</v>
      </c>
      <c r="D295" s="48" t="s">
        <v>385</v>
      </c>
      <c r="E295" s="173"/>
      <c r="F295" s="173"/>
      <c r="G295" s="173"/>
      <c r="H295" s="134" t="e">
        <f t="shared" si="6"/>
        <v>#DIV/0!</v>
      </c>
      <c r="I295" s="173"/>
      <c r="J295" s="173"/>
      <c r="K295" s="173"/>
      <c r="L295" s="173"/>
    </row>
    <row r="296" spans="1:12" ht="15">
      <c r="A296" s="48"/>
      <c r="B296" s="48"/>
      <c r="C296" s="48">
        <v>1351</v>
      </c>
      <c r="D296" s="48" t="s">
        <v>386</v>
      </c>
      <c r="E296" s="173">
        <v>1850</v>
      </c>
      <c r="F296" s="173">
        <v>1850</v>
      </c>
      <c r="G296" s="173">
        <v>1673.8</v>
      </c>
      <c r="H296" s="134">
        <f t="shared" si="6"/>
        <v>90.47567567567567</v>
      </c>
      <c r="I296" s="173">
        <v>1674</v>
      </c>
      <c r="J296" s="173">
        <v>700</v>
      </c>
      <c r="K296" s="173">
        <v>500</v>
      </c>
      <c r="L296" s="173">
        <v>500</v>
      </c>
    </row>
    <row r="297" spans="1:12" ht="15">
      <c r="A297" s="48"/>
      <c r="B297" s="48"/>
      <c r="C297" s="48">
        <v>1361</v>
      </c>
      <c r="D297" s="48" t="s">
        <v>387</v>
      </c>
      <c r="E297" s="44">
        <v>2450</v>
      </c>
      <c r="F297" s="44">
        <v>2450</v>
      </c>
      <c r="G297" s="44">
        <v>984</v>
      </c>
      <c r="H297" s="134">
        <f t="shared" si="6"/>
        <v>40.16326530612245</v>
      </c>
      <c r="I297" s="44">
        <v>1650</v>
      </c>
      <c r="J297" s="44">
        <v>1000</v>
      </c>
      <c r="K297" s="44">
        <v>800</v>
      </c>
      <c r="L297" s="44">
        <v>800</v>
      </c>
    </row>
    <row r="298" spans="1:12" ht="15">
      <c r="A298" s="48"/>
      <c r="B298" s="48"/>
      <c r="C298" s="48">
        <v>1511</v>
      </c>
      <c r="D298" s="48" t="s">
        <v>388</v>
      </c>
      <c r="E298" s="134">
        <v>25200</v>
      </c>
      <c r="F298" s="134">
        <v>25200</v>
      </c>
      <c r="G298" s="134">
        <v>13740.7</v>
      </c>
      <c r="H298" s="134">
        <f t="shared" si="6"/>
        <v>54.526587301587305</v>
      </c>
      <c r="I298" s="134">
        <v>24200</v>
      </c>
      <c r="J298" s="134">
        <v>24200</v>
      </c>
      <c r="K298" s="134">
        <v>24200</v>
      </c>
      <c r="L298" s="134">
        <v>24200</v>
      </c>
    </row>
    <row r="299" spans="1:12" ht="15" customHeight="1" hidden="1">
      <c r="A299" s="48"/>
      <c r="B299" s="48"/>
      <c r="C299" s="48">
        <v>2460</v>
      </c>
      <c r="D299" s="48" t="s">
        <v>389</v>
      </c>
      <c r="E299" s="134">
        <v>0</v>
      </c>
      <c r="F299" s="134">
        <v>0</v>
      </c>
      <c r="G299" s="134"/>
      <c r="H299" s="134" t="e">
        <f t="shared" si="6"/>
        <v>#DIV/0!</v>
      </c>
      <c r="I299" s="134"/>
      <c r="J299" s="134"/>
      <c r="K299" s="134"/>
      <c r="L299" s="134"/>
    </row>
    <row r="300" spans="1:12" ht="15">
      <c r="A300" s="48"/>
      <c r="B300" s="48"/>
      <c r="C300" s="48">
        <v>4112</v>
      </c>
      <c r="D300" s="48" t="s">
        <v>390</v>
      </c>
      <c r="E300" s="134">
        <v>46000</v>
      </c>
      <c r="F300" s="134">
        <v>45991.9</v>
      </c>
      <c r="G300" s="134">
        <v>30661.3</v>
      </c>
      <c r="H300" s="134">
        <f t="shared" si="6"/>
        <v>66.66673914319695</v>
      </c>
      <c r="I300" s="134">
        <v>45992</v>
      </c>
      <c r="J300" s="134">
        <v>38506</v>
      </c>
      <c r="K300" s="134">
        <v>38506</v>
      </c>
      <c r="L300" s="134">
        <v>38506</v>
      </c>
    </row>
    <row r="301" spans="1:12" ht="15" hidden="1">
      <c r="A301" s="48"/>
      <c r="B301" s="48">
        <v>3611</v>
      </c>
      <c r="C301" s="48">
        <v>2141</v>
      </c>
      <c r="D301" s="48" t="s">
        <v>391</v>
      </c>
      <c r="E301" s="134">
        <v>0</v>
      </c>
      <c r="F301" s="134">
        <v>0</v>
      </c>
      <c r="G301" s="134"/>
      <c r="H301" s="134" t="e">
        <f t="shared" si="6"/>
        <v>#DIV/0!</v>
      </c>
      <c r="I301" s="134"/>
      <c r="J301" s="134"/>
      <c r="K301" s="134"/>
      <c r="L301" s="134"/>
    </row>
    <row r="302" spans="1:12" ht="15" hidden="1">
      <c r="A302" s="48"/>
      <c r="B302" s="48">
        <v>3611</v>
      </c>
      <c r="C302" s="48">
        <v>2210</v>
      </c>
      <c r="D302" s="48" t="s">
        <v>392</v>
      </c>
      <c r="E302" s="134"/>
      <c r="F302" s="134"/>
      <c r="G302" s="134"/>
      <c r="H302" s="134" t="e">
        <f t="shared" si="6"/>
        <v>#DIV/0!</v>
      </c>
      <c r="I302" s="134"/>
      <c r="J302" s="134"/>
      <c r="K302" s="134"/>
      <c r="L302" s="134"/>
    </row>
    <row r="303" spans="1:12" ht="15" hidden="1">
      <c r="A303" s="48"/>
      <c r="B303" s="48">
        <v>6171</v>
      </c>
      <c r="C303" s="48">
        <v>2210</v>
      </c>
      <c r="D303" s="48" t="s">
        <v>393</v>
      </c>
      <c r="E303" s="134"/>
      <c r="F303" s="134"/>
      <c r="G303" s="134"/>
      <c r="H303" s="134" t="e">
        <f t="shared" si="6"/>
        <v>#DIV/0!</v>
      </c>
      <c r="I303" s="134"/>
      <c r="J303" s="134"/>
      <c r="K303" s="134"/>
      <c r="L303" s="134"/>
    </row>
    <row r="304" spans="1:12" ht="15" hidden="1">
      <c r="A304" s="48"/>
      <c r="B304" s="48">
        <v>6171</v>
      </c>
      <c r="C304" s="48">
        <v>2328</v>
      </c>
      <c r="D304" s="48" t="s">
        <v>394</v>
      </c>
      <c r="E304" s="134">
        <v>0</v>
      </c>
      <c r="F304" s="134">
        <v>0</v>
      </c>
      <c r="G304" s="134"/>
      <c r="H304" s="134" t="e">
        <f t="shared" si="6"/>
        <v>#DIV/0!</v>
      </c>
      <c r="I304" s="134"/>
      <c r="J304" s="134"/>
      <c r="K304" s="134"/>
      <c r="L304" s="134"/>
    </row>
    <row r="305" spans="1:12" ht="15">
      <c r="A305" s="48"/>
      <c r="B305" s="48">
        <v>6310</v>
      </c>
      <c r="C305" s="48">
        <v>2141</v>
      </c>
      <c r="D305" s="48" t="s">
        <v>395</v>
      </c>
      <c r="E305" s="134">
        <v>500</v>
      </c>
      <c r="F305" s="134">
        <v>1165</v>
      </c>
      <c r="G305" s="134">
        <v>1041.7</v>
      </c>
      <c r="H305" s="134">
        <f t="shared" si="6"/>
        <v>89.41630901287554</v>
      </c>
      <c r="I305" s="134">
        <v>1250</v>
      </c>
      <c r="J305" s="134">
        <v>300</v>
      </c>
      <c r="K305" s="134">
        <v>300</v>
      </c>
      <c r="L305" s="134">
        <v>300</v>
      </c>
    </row>
    <row r="306" spans="1:12" ht="15" hidden="1">
      <c r="A306" s="48"/>
      <c r="B306" s="48">
        <v>6310</v>
      </c>
      <c r="C306" s="48">
        <v>2142</v>
      </c>
      <c r="D306" s="48" t="s">
        <v>396</v>
      </c>
      <c r="E306" s="137"/>
      <c r="F306" s="137"/>
      <c r="G306" s="134"/>
      <c r="H306" s="134" t="e">
        <f t="shared" si="6"/>
        <v>#DIV/0!</v>
      </c>
      <c r="I306" s="137"/>
      <c r="J306" s="137"/>
      <c r="K306" s="137"/>
      <c r="L306" s="137"/>
    </row>
    <row r="307" spans="1:12" ht="15" hidden="1">
      <c r="A307" s="48"/>
      <c r="B307" s="48">
        <v>3611</v>
      </c>
      <c r="C307" s="48">
        <v>2210</v>
      </c>
      <c r="D307" s="48" t="s">
        <v>397</v>
      </c>
      <c r="E307" s="137"/>
      <c r="F307" s="137"/>
      <c r="G307" s="134"/>
      <c r="H307" s="134" t="e">
        <f t="shared" si="6"/>
        <v>#DIV/0!</v>
      </c>
      <c r="I307" s="137"/>
      <c r="J307" s="137"/>
      <c r="K307" s="137"/>
      <c r="L307" s="137"/>
    </row>
    <row r="308" spans="1:12" ht="15" hidden="1">
      <c r="A308" s="48"/>
      <c r="B308" s="48">
        <v>6399</v>
      </c>
      <c r="C308" s="48">
        <v>2329</v>
      </c>
      <c r="D308" s="48" t="s">
        <v>398</v>
      </c>
      <c r="E308" s="137"/>
      <c r="F308" s="137"/>
      <c r="G308" s="134"/>
      <c r="H308" s="134" t="e">
        <f t="shared" si="6"/>
        <v>#DIV/0!</v>
      </c>
      <c r="I308" s="137"/>
      <c r="J308" s="137"/>
      <c r="K308" s="137"/>
      <c r="L308" s="137"/>
    </row>
    <row r="309" spans="1:12" ht="15" hidden="1">
      <c r="A309" s="48"/>
      <c r="B309" s="48">
        <v>6409</v>
      </c>
      <c r="C309" s="48">
        <v>2328</v>
      </c>
      <c r="D309" s="48" t="s">
        <v>399</v>
      </c>
      <c r="E309" s="137">
        <v>0</v>
      </c>
      <c r="F309" s="137">
        <v>0</v>
      </c>
      <c r="G309" s="134">
        <v>147.2</v>
      </c>
      <c r="H309" s="134" t="e">
        <f t="shared" si="6"/>
        <v>#DIV/0!</v>
      </c>
      <c r="I309" s="137">
        <v>0</v>
      </c>
      <c r="J309" s="137">
        <v>0</v>
      </c>
      <c r="K309" s="137">
        <v>0</v>
      </c>
      <c r="L309" s="134">
        <v>0</v>
      </c>
    </row>
    <row r="310" spans="1:12" ht="15.75" customHeight="1" thickBot="1">
      <c r="A310" s="112"/>
      <c r="B310" s="112"/>
      <c r="C310" s="112"/>
      <c r="D310" s="112"/>
      <c r="E310" s="177"/>
      <c r="F310" s="177"/>
      <c r="G310" s="177"/>
      <c r="H310" s="177"/>
      <c r="I310" s="177"/>
      <c r="J310" s="177"/>
      <c r="K310" s="177"/>
      <c r="L310" s="177"/>
    </row>
    <row r="311" spans="1:12" s="77" customFormat="1" ht="21.75" customHeight="1" thickBot="1" thickTop="1">
      <c r="A311" s="114"/>
      <c r="B311" s="114"/>
      <c r="C311" s="114"/>
      <c r="D311" s="115" t="s">
        <v>400</v>
      </c>
      <c r="E311" s="142">
        <f>SUM(E284:E310)</f>
        <v>376000</v>
      </c>
      <c r="F311" s="142">
        <f>SUM(F284:F310)</f>
        <v>373487.9</v>
      </c>
      <c r="G311" s="142">
        <f>SUM(G284:G310)</f>
        <v>271797.8</v>
      </c>
      <c r="H311" s="143">
        <f>(G311/F311)*100</f>
        <v>72.77285288224866</v>
      </c>
      <c r="I311" s="142">
        <f>SUM(I284:I310)</f>
        <v>360967</v>
      </c>
      <c r="J311" s="142">
        <f>SUM(J284:J310)</f>
        <v>298446</v>
      </c>
      <c r="K311" s="142">
        <f>SUM(K284:K310)</f>
        <v>298256</v>
      </c>
      <c r="L311" s="142">
        <f>SUM(L284:L310)</f>
        <v>304536</v>
      </c>
    </row>
    <row r="312" spans="1:12" ht="15" customHeight="1">
      <c r="A312" s="109"/>
      <c r="B312" s="109"/>
      <c r="C312" s="109"/>
      <c r="D312" s="84"/>
      <c r="E312" s="169"/>
      <c r="F312" s="169"/>
      <c r="G312" s="169"/>
      <c r="H312" s="169"/>
      <c r="I312" s="169"/>
      <c r="J312" s="169"/>
      <c r="K312" s="169"/>
      <c r="L312" s="169"/>
    </row>
    <row r="313" spans="1:12" ht="15">
      <c r="A313" s="77"/>
      <c r="B313" s="109"/>
      <c r="C313" s="109"/>
      <c r="D313" s="109"/>
      <c r="E313" s="178"/>
      <c r="F313" s="178"/>
      <c r="G313" s="178"/>
      <c r="H313" s="178"/>
      <c r="I313" s="178"/>
      <c r="J313" s="178"/>
      <c r="K313" s="178"/>
      <c r="L313" s="178"/>
    </row>
    <row r="314" spans="1:12" ht="15" hidden="1">
      <c r="A314" s="77"/>
      <c r="B314" s="109"/>
      <c r="C314" s="109"/>
      <c r="D314" s="109"/>
      <c r="E314" s="178"/>
      <c r="F314" s="178"/>
      <c r="G314" s="178"/>
      <c r="H314" s="178"/>
      <c r="I314" s="178"/>
      <c r="J314" s="178"/>
      <c r="K314" s="178"/>
      <c r="L314" s="178"/>
    </row>
    <row r="315" spans="1:12" ht="15" customHeight="1" thickBot="1">
      <c r="A315" s="77"/>
      <c r="B315" s="109"/>
      <c r="C315" s="109"/>
      <c r="D315" s="109"/>
      <c r="E315" s="178"/>
      <c r="F315" s="178"/>
      <c r="G315" s="178"/>
      <c r="H315" s="178"/>
      <c r="I315" s="178"/>
      <c r="J315" s="178"/>
      <c r="K315" s="178"/>
      <c r="L315" s="178"/>
    </row>
    <row r="316" spans="1:12" ht="18">
      <c r="A316" s="160" t="s">
        <v>2</v>
      </c>
      <c r="B316" s="160" t="s">
        <v>3</v>
      </c>
      <c r="C316" s="160" t="s">
        <v>219</v>
      </c>
      <c r="D316" s="209" t="s">
        <v>484</v>
      </c>
      <c r="E316" s="162" t="s">
        <v>489</v>
      </c>
      <c r="F316" s="162" t="s">
        <v>490</v>
      </c>
      <c r="G316" s="162" t="s">
        <v>6</v>
      </c>
      <c r="H316" s="162" t="s">
        <v>220</v>
      </c>
      <c r="I316" s="162" t="s">
        <v>458</v>
      </c>
      <c r="J316" s="162" t="s">
        <v>5</v>
      </c>
      <c r="K316" s="162" t="s">
        <v>5</v>
      </c>
      <c r="L316" s="162" t="s">
        <v>5</v>
      </c>
    </row>
    <row r="317" spans="1:12" ht="15.75" customHeight="1" thickBot="1">
      <c r="A317" s="163"/>
      <c r="B317" s="163"/>
      <c r="C317" s="163"/>
      <c r="D317" s="164"/>
      <c r="E317" s="166">
        <v>2010</v>
      </c>
      <c r="F317" s="166">
        <v>2010</v>
      </c>
      <c r="G317" s="166" t="s">
        <v>22</v>
      </c>
      <c r="H317" s="165" t="s">
        <v>221</v>
      </c>
      <c r="I317" s="166">
        <v>2010</v>
      </c>
      <c r="J317" s="166">
        <v>2011</v>
      </c>
      <c r="K317" s="166">
        <v>2012</v>
      </c>
      <c r="L317" s="166" t="s">
        <v>459</v>
      </c>
    </row>
    <row r="318" spans="1:12" ht="16.5" customHeight="1" thickTop="1">
      <c r="A318" s="88">
        <v>120</v>
      </c>
      <c r="B318" s="88"/>
      <c r="C318" s="88"/>
      <c r="D318" s="15" t="s">
        <v>199</v>
      </c>
      <c r="E318" s="146"/>
      <c r="F318" s="146"/>
      <c r="G318" s="146"/>
      <c r="H318" s="146"/>
      <c r="I318" s="146"/>
      <c r="J318" s="146"/>
      <c r="K318" s="146"/>
      <c r="L318" s="146"/>
    </row>
    <row r="319" spans="1:12" ht="15.75">
      <c r="A319" s="56"/>
      <c r="B319" s="56"/>
      <c r="C319" s="56"/>
      <c r="D319" s="56"/>
      <c r="E319" s="134"/>
      <c r="F319" s="134"/>
      <c r="G319" s="134"/>
      <c r="H319" s="134"/>
      <c r="I319" s="134"/>
      <c r="J319" s="134"/>
      <c r="K319" s="134"/>
      <c r="L319" s="134"/>
    </row>
    <row r="320" spans="1:12" ht="15">
      <c r="A320" s="91"/>
      <c r="B320" s="48"/>
      <c r="C320" s="48">
        <v>2451</v>
      </c>
      <c r="D320" s="48" t="s">
        <v>401</v>
      </c>
      <c r="E320" s="134">
        <v>0</v>
      </c>
      <c r="F320" s="134">
        <v>1500</v>
      </c>
      <c r="G320" s="134">
        <v>1500</v>
      </c>
      <c r="H320" s="134">
        <f aca="true" t="shared" si="7" ref="H320:H340">(G320/F320)*100</f>
        <v>100</v>
      </c>
      <c r="I320" s="134">
        <v>1500</v>
      </c>
      <c r="J320" s="134">
        <v>0</v>
      </c>
      <c r="K320" s="134">
        <v>0</v>
      </c>
      <c r="L320" s="134">
        <v>0</v>
      </c>
    </row>
    <row r="321" spans="1:12" ht="15">
      <c r="A321" s="21"/>
      <c r="B321" s="21">
        <v>3612</v>
      </c>
      <c r="C321" s="21">
        <v>2122</v>
      </c>
      <c r="D321" s="21" t="s">
        <v>402</v>
      </c>
      <c r="E321" s="134">
        <v>0</v>
      </c>
      <c r="F321" s="134">
        <v>1000</v>
      </c>
      <c r="G321" s="134">
        <v>1000</v>
      </c>
      <c r="H321" s="134">
        <f t="shared" si="7"/>
        <v>100</v>
      </c>
      <c r="I321" s="134">
        <v>1000</v>
      </c>
      <c r="J321" s="134">
        <v>0</v>
      </c>
      <c r="K321" s="134">
        <v>0</v>
      </c>
      <c r="L321" s="134">
        <v>0</v>
      </c>
    </row>
    <row r="322" spans="1:12" ht="15">
      <c r="A322" s="48"/>
      <c r="B322" s="48">
        <v>3612</v>
      </c>
      <c r="C322" s="48">
        <v>2132</v>
      </c>
      <c r="D322" s="48" t="s">
        <v>403</v>
      </c>
      <c r="E322" s="179">
        <f>1644+9800</f>
        <v>11444</v>
      </c>
      <c r="F322" s="179">
        <v>6800</v>
      </c>
      <c r="G322" s="179">
        <v>6254.6</v>
      </c>
      <c r="H322" s="134">
        <f t="shared" si="7"/>
        <v>91.97941176470589</v>
      </c>
      <c r="I322" s="179">
        <v>6800</v>
      </c>
      <c r="J322" s="179">
        <v>0</v>
      </c>
      <c r="K322" s="179">
        <v>0</v>
      </c>
      <c r="L322" s="179">
        <v>0</v>
      </c>
    </row>
    <row r="323" spans="1:12" ht="15">
      <c r="A323" s="48"/>
      <c r="B323" s="48">
        <v>3612</v>
      </c>
      <c r="C323" s="48">
        <v>2310</v>
      </c>
      <c r="D323" s="48" t="s">
        <v>404</v>
      </c>
      <c r="E323" s="179">
        <v>0</v>
      </c>
      <c r="F323" s="179">
        <v>0</v>
      </c>
      <c r="G323" s="179">
        <v>29.8</v>
      </c>
      <c r="H323" s="134" t="e">
        <f t="shared" si="7"/>
        <v>#DIV/0!</v>
      </c>
      <c r="I323" s="179">
        <v>29.8</v>
      </c>
      <c r="J323" s="179">
        <v>0</v>
      </c>
      <c r="K323" s="179">
        <v>0</v>
      </c>
      <c r="L323" s="179">
        <v>0</v>
      </c>
    </row>
    <row r="324" spans="1:12" ht="15" hidden="1">
      <c r="A324" s="48"/>
      <c r="B324" s="48">
        <v>3612</v>
      </c>
      <c r="C324" s="48">
        <v>2324</v>
      </c>
      <c r="D324" s="48" t="s">
        <v>405</v>
      </c>
      <c r="E324" s="134"/>
      <c r="F324" s="134"/>
      <c r="G324" s="134"/>
      <c r="H324" s="134" t="e">
        <f t="shared" si="7"/>
        <v>#DIV/0!</v>
      </c>
      <c r="I324" s="134"/>
      <c r="J324" s="134"/>
      <c r="K324" s="134"/>
      <c r="L324" s="134"/>
    </row>
    <row r="325" spans="1:12" ht="15" hidden="1">
      <c r="A325" s="48"/>
      <c r="B325" s="48">
        <v>3612</v>
      </c>
      <c r="C325" s="48">
        <v>2329</v>
      </c>
      <c r="D325" s="48" t="s">
        <v>406</v>
      </c>
      <c r="E325" s="134"/>
      <c r="F325" s="134"/>
      <c r="G325" s="134"/>
      <c r="H325" s="134" t="e">
        <f t="shared" si="7"/>
        <v>#DIV/0!</v>
      </c>
      <c r="I325" s="134"/>
      <c r="J325" s="134"/>
      <c r="K325" s="134"/>
      <c r="L325" s="134"/>
    </row>
    <row r="326" spans="1:12" ht="15">
      <c r="A326" s="48"/>
      <c r="B326" s="48">
        <v>3612</v>
      </c>
      <c r="C326" s="48">
        <v>3112</v>
      </c>
      <c r="D326" s="48" t="s">
        <v>407</v>
      </c>
      <c r="E326" s="134">
        <v>6000</v>
      </c>
      <c r="F326" s="134">
        <v>6000</v>
      </c>
      <c r="G326" s="134">
        <v>7656.8</v>
      </c>
      <c r="H326" s="134">
        <f t="shared" si="7"/>
        <v>127.61333333333333</v>
      </c>
      <c r="I326" s="134">
        <v>8269.3</v>
      </c>
      <c r="J326" s="134">
        <v>8000</v>
      </c>
      <c r="K326" s="134">
        <v>0</v>
      </c>
      <c r="L326" s="134">
        <v>0</v>
      </c>
    </row>
    <row r="327" spans="1:12" ht="15">
      <c r="A327" s="48"/>
      <c r="B327" s="48">
        <v>3613</v>
      </c>
      <c r="C327" s="48">
        <v>2132</v>
      </c>
      <c r="D327" s="48" t="s">
        <v>408</v>
      </c>
      <c r="E327" s="179">
        <v>4980</v>
      </c>
      <c r="F327" s="179">
        <v>3474</v>
      </c>
      <c r="G327" s="179">
        <v>3474.1</v>
      </c>
      <c r="H327" s="134">
        <f t="shared" si="7"/>
        <v>100.00287852619458</v>
      </c>
      <c r="I327" s="179">
        <v>3474.1</v>
      </c>
      <c r="J327" s="179">
        <v>0</v>
      </c>
      <c r="K327" s="179">
        <v>0</v>
      </c>
      <c r="L327" s="179">
        <v>0</v>
      </c>
    </row>
    <row r="328" spans="1:12" ht="15">
      <c r="A328" s="91"/>
      <c r="B328" s="48">
        <v>3613</v>
      </c>
      <c r="C328" s="48">
        <v>3112</v>
      </c>
      <c r="D328" s="48" t="s">
        <v>409</v>
      </c>
      <c r="E328" s="134">
        <v>10000</v>
      </c>
      <c r="F328" s="134">
        <v>10000</v>
      </c>
      <c r="G328" s="134">
        <v>0</v>
      </c>
      <c r="H328" s="134">
        <f t="shared" si="7"/>
        <v>0</v>
      </c>
      <c r="I328" s="134">
        <v>0</v>
      </c>
      <c r="J328" s="134">
        <v>0</v>
      </c>
      <c r="K328" s="134">
        <v>0</v>
      </c>
      <c r="L328" s="134">
        <v>0</v>
      </c>
    </row>
    <row r="329" spans="1:12" ht="15">
      <c r="A329" s="91"/>
      <c r="B329" s="48">
        <v>3634</v>
      </c>
      <c r="C329" s="48">
        <v>2132</v>
      </c>
      <c r="D329" s="48" t="s">
        <v>410</v>
      </c>
      <c r="E329" s="134">
        <f>4900+931</f>
        <v>5831</v>
      </c>
      <c r="F329" s="134">
        <f>4900+931</f>
        <v>5831</v>
      </c>
      <c r="G329" s="134">
        <v>5652</v>
      </c>
      <c r="H329" s="134">
        <f t="shared" si="7"/>
        <v>96.93020065168925</v>
      </c>
      <c r="I329" s="134">
        <v>5652</v>
      </c>
      <c r="J329" s="134">
        <v>0</v>
      </c>
      <c r="K329" s="134">
        <v>0</v>
      </c>
      <c r="L329" s="134">
        <v>0</v>
      </c>
    </row>
    <row r="330" spans="1:12" ht="15" hidden="1">
      <c r="A330" s="91"/>
      <c r="B330" s="48">
        <v>3636</v>
      </c>
      <c r="C330" s="48">
        <v>2131</v>
      </c>
      <c r="D330" s="48" t="s">
        <v>411</v>
      </c>
      <c r="E330" s="134">
        <v>0</v>
      </c>
      <c r="F330" s="134">
        <v>0</v>
      </c>
      <c r="G330" s="134">
        <v>0</v>
      </c>
      <c r="H330" s="134" t="e">
        <f t="shared" si="7"/>
        <v>#DIV/0!</v>
      </c>
      <c r="I330" s="134">
        <v>0</v>
      </c>
      <c r="J330" s="134">
        <v>0</v>
      </c>
      <c r="K330" s="134">
        <v>0</v>
      </c>
      <c r="L330" s="134">
        <v>0</v>
      </c>
    </row>
    <row r="331" spans="1:12" ht="15">
      <c r="A331" s="91"/>
      <c r="B331" s="48">
        <v>3639</v>
      </c>
      <c r="C331" s="48">
        <v>2119</v>
      </c>
      <c r="D331" s="48" t="s">
        <v>412</v>
      </c>
      <c r="E331" s="134">
        <v>10</v>
      </c>
      <c r="F331" s="134">
        <v>10</v>
      </c>
      <c r="G331" s="134">
        <v>304.6</v>
      </c>
      <c r="H331" s="134">
        <f t="shared" si="7"/>
        <v>3046</v>
      </c>
      <c r="I331" s="134">
        <v>305.8</v>
      </c>
      <c r="J331" s="134">
        <v>10</v>
      </c>
      <c r="K331" s="134">
        <v>10</v>
      </c>
      <c r="L331" s="134">
        <v>10</v>
      </c>
    </row>
    <row r="332" spans="1:12" ht="15">
      <c r="A332" s="48"/>
      <c r="B332" s="48">
        <v>3639</v>
      </c>
      <c r="C332" s="48">
        <v>2131</v>
      </c>
      <c r="D332" s="48" t="s">
        <v>413</v>
      </c>
      <c r="E332" s="134">
        <v>1350</v>
      </c>
      <c r="F332" s="134">
        <v>1350</v>
      </c>
      <c r="G332" s="134">
        <v>1242.9</v>
      </c>
      <c r="H332" s="134">
        <f t="shared" si="7"/>
        <v>92.06666666666668</v>
      </c>
      <c r="I332" s="134">
        <v>1989.2</v>
      </c>
      <c r="J332" s="134">
        <v>1300</v>
      </c>
      <c r="K332" s="134">
        <v>1200</v>
      </c>
      <c r="L332" s="134">
        <v>1200</v>
      </c>
    </row>
    <row r="333" spans="1:12" ht="15" hidden="1">
      <c r="A333" s="48"/>
      <c r="B333" s="48">
        <v>3639</v>
      </c>
      <c r="C333" s="48">
        <v>2132</v>
      </c>
      <c r="D333" s="48" t="s">
        <v>312</v>
      </c>
      <c r="E333" s="134"/>
      <c r="F333" s="134"/>
      <c r="G333" s="134"/>
      <c r="H333" s="134" t="e">
        <f t="shared" si="7"/>
        <v>#DIV/0!</v>
      </c>
      <c r="I333" s="134"/>
      <c r="J333" s="134"/>
      <c r="K333" s="134"/>
      <c r="L333" s="134"/>
    </row>
    <row r="334" spans="1:12" ht="15">
      <c r="A334" s="48"/>
      <c r="B334" s="48">
        <v>3639</v>
      </c>
      <c r="C334" s="48">
        <v>2324</v>
      </c>
      <c r="D334" s="48" t="s">
        <v>414</v>
      </c>
      <c r="E334" s="134">
        <v>600</v>
      </c>
      <c r="F334" s="134">
        <v>600</v>
      </c>
      <c r="G334" s="134">
        <v>859.8</v>
      </c>
      <c r="H334" s="134">
        <f t="shared" si="7"/>
        <v>143.29999999999998</v>
      </c>
      <c r="I334" s="134">
        <v>886.7</v>
      </c>
      <c r="J334" s="134">
        <v>345</v>
      </c>
      <c r="K334" s="134">
        <v>12</v>
      </c>
      <c r="L334" s="134">
        <v>12</v>
      </c>
    </row>
    <row r="335" spans="1:12" ht="15">
      <c r="A335" s="48"/>
      <c r="B335" s="48">
        <v>3639</v>
      </c>
      <c r="C335" s="48">
        <v>3111</v>
      </c>
      <c r="D335" s="48" t="s">
        <v>415</v>
      </c>
      <c r="E335" s="134">
        <v>12585</v>
      </c>
      <c r="F335" s="134">
        <v>12585</v>
      </c>
      <c r="G335" s="134">
        <v>16605.4</v>
      </c>
      <c r="H335" s="134">
        <f t="shared" si="7"/>
        <v>131.9459674215336</v>
      </c>
      <c r="I335" s="134">
        <v>16753.7</v>
      </c>
      <c r="J335" s="134">
        <v>3500</v>
      </c>
      <c r="K335" s="134">
        <v>400</v>
      </c>
      <c r="L335" s="134">
        <v>400</v>
      </c>
    </row>
    <row r="336" spans="1:12" ht="15" hidden="1">
      <c r="A336" s="48"/>
      <c r="B336" s="48">
        <v>3639</v>
      </c>
      <c r="C336" s="48">
        <v>3112</v>
      </c>
      <c r="D336" s="48" t="s">
        <v>416</v>
      </c>
      <c r="E336" s="134"/>
      <c r="F336" s="134"/>
      <c r="G336" s="134"/>
      <c r="H336" s="134" t="e">
        <f t="shared" si="7"/>
        <v>#DIV/0!</v>
      </c>
      <c r="I336" s="134"/>
      <c r="J336" s="134"/>
      <c r="K336" s="134"/>
      <c r="L336" s="134"/>
    </row>
    <row r="337" spans="1:12" ht="15" hidden="1">
      <c r="A337" s="48"/>
      <c r="B337" s="48">
        <v>3612</v>
      </c>
      <c r="C337" s="48">
        <v>3111</v>
      </c>
      <c r="D337" s="48" t="s">
        <v>417</v>
      </c>
      <c r="E337" s="134"/>
      <c r="F337" s="134"/>
      <c r="G337" s="134"/>
      <c r="H337" s="134" t="e">
        <f t="shared" si="7"/>
        <v>#DIV/0!</v>
      </c>
      <c r="I337" s="134"/>
      <c r="J337" s="134"/>
      <c r="K337" s="134"/>
      <c r="L337" s="134"/>
    </row>
    <row r="338" spans="1:12" ht="15" hidden="1">
      <c r="A338" s="48"/>
      <c r="B338" s="48">
        <v>3639</v>
      </c>
      <c r="C338" s="48">
        <v>3112</v>
      </c>
      <c r="D338" s="48" t="s">
        <v>418</v>
      </c>
      <c r="E338" s="134"/>
      <c r="F338" s="134"/>
      <c r="G338" s="134"/>
      <c r="H338" s="134" t="e">
        <f t="shared" si="7"/>
        <v>#DIV/0!</v>
      </c>
      <c r="I338" s="134"/>
      <c r="J338" s="134"/>
      <c r="K338" s="134"/>
      <c r="L338" s="134"/>
    </row>
    <row r="339" spans="1:12" ht="15" hidden="1">
      <c r="A339" s="48"/>
      <c r="B339" s="48">
        <v>3639</v>
      </c>
      <c r="C339" s="48">
        <v>3113</v>
      </c>
      <c r="D339" s="48" t="s">
        <v>419</v>
      </c>
      <c r="E339" s="134"/>
      <c r="F339" s="134"/>
      <c r="G339" s="134"/>
      <c r="H339" s="134" t="e">
        <f t="shared" si="7"/>
        <v>#DIV/0!</v>
      </c>
      <c r="I339" s="134"/>
      <c r="J339" s="134"/>
      <c r="K339" s="134"/>
      <c r="L339" s="134"/>
    </row>
    <row r="340" spans="1:12" ht="15" customHeight="1">
      <c r="A340" s="97"/>
      <c r="B340" s="97">
        <v>3639</v>
      </c>
      <c r="C340" s="97">
        <v>3119</v>
      </c>
      <c r="D340" s="97" t="s">
        <v>420</v>
      </c>
      <c r="E340" s="134">
        <v>7200</v>
      </c>
      <c r="F340" s="134">
        <v>7200</v>
      </c>
      <c r="G340" s="134">
        <v>3000</v>
      </c>
      <c r="H340" s="134">
        <f t="shared" si="7"/>
        <v>41.66666666666667</v>
      </c>
      <c r="I340" s="134">
        <v>7200</v>
      </c>
      <c r="J340" s="134">
        <v>7200</v>
      </c>
      <c r="K340" s="134">
        <v>7200</v>
      </c>
      <c r="L340" s="134">
        <v>7200</v>
      </c>
    </row>
    <row r="341" spans="1:12" ht="15" hidden="1">
      <c r="A341" s="97"/>
      <c r="B341" s="97">
        <v>6171</v>
      </c>
      <c r="C341" s="97">
        <v>2131</v>
      </c>
      <c r="D341" s="97" t="s">
        <v>311</v>
      </c>
      <c r="E341" s="134"/>
      <c r="F341" s="134"/>
      <c r="G341" s="134"/>
      <c r="H341" s="134"/>
      <c r="I341" s="134"/>
      <c r="J341" s="134"/>
      <c r="K341" s="134"/>
      <c r="L341" s="134"/>
    </row>
    <row r="342" spans="1:12" ht="15" hidden="1">
      <c r="A342" s="48"/>
      <c r="B342" s="48">
        <v>6171</v>
      </c>
      <c r="C342" s="48">
        <v>2324</v>
      </c>
      <c r="D342" s="48" t="s">
        <v>421</v>
      </c>
      <c r="E342" s="134"/>
      <c r="F342" s="134"/>
      <c r="G342" s="134"/>
      <c r="H342" s="134"/>
      <c r="I342" s="134"/>
      <c r="J342" s="134"/>
      <c r="K342" s="134"/>
      <c r="L342" s="134"/>
    </row>
    <row r="343" spans="1:12" ht="15" hidden="1">
      <c r="A343" s="48"/>
      <c r="B343" s="48"/>
      <c r="C343" s="48"/>
      <c r="D343" s="48"/>
      <c r="E343" s="134"/>
      <c r="F343" s="134"/>
      <c r="G343" s="134"/>
      <c r="H343" s="134"/>
      <c r="I343" s="134"/>
      <c r="J343" s="134"/>
      <c r="K343" s="134"/>
      <c r="L343" s="134"/>
    </row>
    <row r="344" spans="1:12" ht="15.75" customHeight="1" thickBot="1">
      <c r="A344" s="118"/>
      <c r="B344" s="118"/>
      <c r="C344" s="118">
        <v>2212</v>
      </c>
      <c r="D344" s="118" t="s">
        <v>479</v>
      </c>
      <c r="E344" s="157">
        <v>0</v>
      </c>
      <c r="F344" s="157">
        <v>0</v>
      </c>
      <c r="G344" s="157">
        <v>0</v>
      </c>
      <c r="H344" s="157"/>
      <c r="I344" s="157">
        <v>0</v>
      </c>
      <c r="J344" s="157">
        <v>200</v>
      </c>
      <c r="K344" s="157">
        <v>200</v>
      </c>
      <c r="L344" s="157">
        <v>200</v>
      </c>
    </row>
    <row r="345" spans="1:12" s="77" customFormat="1" ht="22.5" customHeight="1" thickBot="1" thickTop="1">
      <c r="A345" s="114"/>
      <c r="B345" s="114"/>
      <c r="C345" s="114"/>
      <c r="D345" s="115" t="s">
        <v>422</v>
      </c>
      <c r="E345" s="142">
        <f>SUM(E319:E344)</f>
        <v>60000</v>
      </c>
      <c r="F345" s="142">
        <f>SUM(F319:F344)</f>
        <v>56350</v>
      </c>
      <c r="G345" s="142">
        <f>SUM(G319:G344)</f>
        <v>47580</v>
      </c>
      <c r="H345" s="143">
        <f>(G345/F345)*100</f>
        <v>84.43655723158828</v>
      </c>
      <c r="I345" s="142">
        <f>SUM(I319:I344)</f>
        <v>53860.6</v>
      </c>
      <c r="J345" s="142">
        <f>SUM(J319:J344)</f>
        <v>20555</v>
      </c>
      <c r="K345" s="142">
        <f>SUM(K319:K344)</f>
        <v>9022</v>
      </c>
      <c r="L345" s="142">
        <f>SUM(L319:L344)</f>
        <v>9022</v>
      </c>
    </row>
    <row r="346" spans="1:12" ht="15" customHeight="1">
      <c r="A346" s="77"/>
      <c r="B346" s="109"/>
      <c r="C346" s="109"/>
      <c r="D346" s="109"/>
      <c r="E346" s="178"/>
      <c r="F346" s="178"/>
      <c r="G346" s="178"/>
      <c r="H346" s="178"/>
      <c r="I346" s="178"/>
      <c r="J346" s="178"/>
      <c r="K346" s="178"/>
      <c r="L346" s="178"/>
    </row>
    <row r="347" spans="1:12" ht="15" customHeight="1">
      <c r="A347" s="77"/>
      <c r="B347" s="109"/>
      <c r="C347" s="109"/>
      <c r="D347" s="109"/>
      <c r="E347" s="178"/>
      <c r="F347" s="178"/>
      <c r="G347" s="178"/>
      <c r="H347" s="178"/>
      <c r="I347" s="178"/>
      <c r="J347" s="178"/>
      <c r="K347" s="178"/>
      <c r="L347" s="178"/>
    </row>
    <row r="348" spans="1:12" ht="15" customHeight="1">
      <c r="A348" s="77"/>
      <c r="B348" s="109"/>
      <c r="C348" s="109"/>
      <c r="D348" s="109"/>
      <c r="E348" s="178"/>
      <c r="F348" s="178"/>
      <c r="G348" s="178"/>
      <c r="H348" s="178"/>
      <c r="I348" s="178"/>
      <c r="J348" s="178"/>
      <c r="K348" s="178"/>
      <c r="L348" s="178"/>
    </row>
    <row r="349" spans="1:12" ht="15" customHeight="1">
      <c r="A349" s="77"/>
      <c r="B349" s="109"/>
      <c r="C349" s="109"/>
      <c r="D349" s="109"/>
      <c r="E349" s="178"/>
      <c r="F349" s="178"/>
      <c r="G349" s="178"/>
      <c r="H349" s="178"/>
      <c r="I349" s="178"/>
      <c r="J349" s="178"/>
      <c r="K349" s="178"/>
      <c r="L349" s="178"/>
    </row>
    <row r="350" spans="1:12" ht="15" customHeight="1">
      <c r="A350" s="77"/>
      <c r="B350" s="109"/>
      <c r="C350" s="109"/>
      <c r="D350" s="109"/>
      <c r="E350" s="178"/>
      <c r="F350" s="178"/>
      <c r="G350" s="178"/>
      <c r="H350" s="178"/>
      <c r="I350" s="178"/>
      <c r="J350" s="178"/>
      <c r="K350" s="178"/>
      <c r="L350" s="178"/>
    </row>
    <row r="351" spans="1:12" ht="15" customHeight="1">
      <c r="A351" s="77"/>
      <c r="B351" s="109"/>
      <c r="C351" s="109"/>
      <c r="D351" s="109"/>
      <c r="E351" s="178"/>
      <c r="F351" s="178"/>
      <c r="G351" s="178"/>
      <c r="H351" s="178"/>
      <c r="I351" s="178"/>
      <c r="J351" s="178"/>
      <c r="K351" s="178"/>
      <c r="L351" s="178"/>
    </row>
    <row r="352" spans="1:12" ht="15" customHeight="1">
      <c r="A352" s="77"/>
      <c r="B352" s="109"/>
      <c r="C352" s="109"/>
      <c r="D352" s="109"/>
      <c r="E352" s="178"/>
      <c r="F352" s="178"/>
      <c r="G352" s="178"/>
      <c r="H352" s="178"/>
      <c r="I352" s="178"/>
      <c r="J352" s="178"/>
      <c r="K352" s="178"/>
      <c r="L352" s="178"/>
    </row>
    <row r="353" spans="1:12" ht="15" customHeight="1" thickBot="1">
      <c r="A353" s="77"/>
      <c r="B353" s="109"/>
      <c r="C353" s="109"/>
      <c r="D353" s="109"/>
      <c r="E353" s="178"/>
      <c r="F353" s="178"/>
      <c r="G353" s="178"/>
      <c r="H353" s="178"/>
      <c r="I353" s="178"/>
      <c r="J353" s="178"/>
      <c r="K353" s="178"/>
      <c r="L353" s="178"/>
    </row>
    <row r="354" spans="1:12" ht="18">
      <c r="A354" s="160" t="s">
        <v>2</v>
      </c>
      <c r="B354" s="160" t="s">
        <v>3</v>
      </c>
      <c r="C354" s="160" t="s">
        <v>219</v>
      </c>
      <c r="D354" s="209" t="s">
        <v>484</v>
      </c>
      <c r="E354" s="162" t="s">
        <v>489</v>
      </c>
      <c r="F354" s="162" t="s">
        <v>490</v>
      </c>
      <c r="G354" s="162" t="s">
        <v>6</v>
      </c>
      <c r="H354" s="162" t="s">
        <v>220</v>
      </c>
      <c r="I354" s="162" t="s">
        <v>458</v>
      </c>
      <c r="J354" s="162" t="s">
        <v>5</v>
      </c>
      <c r="K354" s="162" t="s">
        <v>5</v>
      </c>
      <c r="L354" s="162" t="s">
        <v>5</v>
      </c>
    </row>
    <row r="355" spans="1:12" ht="15.75" customHeight="1" thickBot="1">
      <c r="A355" s="163"/>
      <c r="B355" s="163"/>
      <c r="C355" s="163"/>
      <c r="D355" s="164"/>
      <c r="E355" s="166">
        <v>2010</v>
      </c>
      <c r="F355" s="166">
        <v>2010</v>
      </c>
      <c r="G355" s="166" t="s">
        <v>22</v>
      </c>
      <c r="H355" s="165" t="s">
        <v>221</v>
      </c>
      <c r="I355" s="166">
        <v>2010</v>
      </c>
      <c r="J355" s="166">
        <v>2011</v>
      </c>
      <c r="K355" s="166">
        <v>2012</v>
      </c>
      <c r="L355" s="166" t="s">
        <v>459</v>
      </c>
    </row>
    <row r="356" spans="1:12" ht="15.75" customHeight="1" thickTop="1">
      <c r="A356" s="88">
        <v>130</v>
      </c>
      <c r="B356" s="88"/>
      <c r="C356" s="88"/>
      <c r="D356" s="89" t="s">
        <v>211</v>
      </c>
      <c r="E356" s="146"/>
      <c r="F356" s="146"/>
      <c r="G356" s="146"/>
      <c r="H356" s="146"/>
      <c r="I356" s="146"/>
      <c r="J356" s="146"/>
      <c r="K356" s="146"/>
      <c r="L356" s="146"/>
    </row>
    <row r="357" spans="1:12" ht="15">
      <c r="A357" s="48"/>
      <c r="B357" s="48"/>
      <c r="C357" s="48"/>
      <c r="D357" s="48"/>
      <c r="E357" s="134"/>
      <c r="F357" s="134"/>
      <c r="G357" s="134"/>
      <c r="H357" s="134"/>
      <c r="I357" s="134"/>
      <c r="J357" s="134"/>
      <c r="K357" s="134"/>
      <c r="L357" s="134"/>
    </row>
    <row r="358" spans="1:12" ht="15.75" hidden="1">
      <c r="A358" s="56"/>
      <c r="B358" s="56"/>
      <c r="C358" s="48">
        <v>4216</v>
      </c>
      <c r="D358" s="48" t="s">
        <v>372</v>
      </c>
      <c r="E358" s="134">
        <v>0</v>
      </c>
      <c r="F358" s="134">
        <v>0</v>
      </c>
      <c r="G358" s="134"/>
      <c r="H358" s="134" t="e">
        <f aca="true" t="shared" si="8" ref="H358:H364">(G358/F358)*100</f>
        <v>#DIV/0!</v>
      </c>
      <c r="I358" s="134">
        <v>0</v>
      </c>
      <c r="J358" s="134">
        <v>0</v>
      </c>
      <c r="K358" s="134">
        <v>0</v>
      </c>
      <c r="L358" s="134">
        <v>0</v>
      </c>
    </row>
    <row r="359" spans="1:12" ht="15">
      <c r="A359" s="48"/>
      <c r="B359" s="48">
        <v>3612</v>
      </c>
      <c r="C359" s="48">
        <v>2111</v>
      </c>
      <c r="D359" s="48" t="s">
        <v>423</v>
      </c>
      <c r="E359" s="134">
        <v>0</v>
      </c>
      <c r="F359" s="134">
        <v>2000</v>
      </c>
      <c r="G359" s="134">
        <v>0</v>
      </c>
      <c r="H359" s="134">
        <f t="shared" si="8"/>
        <v>0</v>
      </c>
      <c r="I359" s="134">
        <v>2000</v>
      </c>
      <c r="J359" s="134">
        <v>5000</v>
      </c>
      <c r="K359" s="134">
        <v>5000</v>
      </c>
      <c r="L359" s="134">
        <v>5000</v>
      </c>
    </row>
    <row r="360" spans="1:12" ht="15">
      <c r="A360" s="91"/>
      <c r="B360" s="91">
        <v>3612</v>
      </c>
      <c r="C360" s="91">
        <v>2132</v>
      </c>
      <c r="D360" s="48" t="s">
        <v>424</v>
      </c>
      <c r="E360" s="134">
        <v>0</v>
      </c>
      <c r="F360" s="134">
        <v>4644</v>
      </c>
      <c r="G360" s="134">
        <v>1426</v>
      </c>
      <c r="H360" s="134">
        <f t="shared" si="8"/>
        <v>30.706287683031867</v>
      </c>
      <c r="I360" s="134">
        <v>4644</v>
      </c>
      <c r="J360" s="134">
        <f>8500+1644</f>
        <v>10144</v>
      </c>
      <c r="K360" s="134">
        <f>7000+1644</f>
        <v>8644</v>
      </c>
      <c r="L360" s="134">
        <f>7000+1644</f>
        <v>8644</v>
      </c>
    </row>
    <row r="361" spans="1:12" ht="15">
      <c r="A361" s="91"/>
      <c r="B361" s="91">
        <v>3613</v>
      </c>
      <c r="C361" s="91">
        <v>2111</v>
      </c>
      <c r="D361" s="48" t="s">
        <v>425</v>
      </c>
      <c r="E361" s="134">
        <v>0</v>
      </c>
      <c r="F361" s="134">
        <v>890</v>
      </c>
      <c r="G361" s="134">
        <v>0</v>
      </c>
      <c r="H361" s="134">
        <f t="shared" si="8"/>
        <v>0</v>
      </c>
      <c r="I361" s="134">
        <v>890</v>
      </c>
      <c r="J361" s="134">
        <v>2000</v>
      </c>
      <c r="K361" s="134">
        <v>2000</v>
      </c>
      <c r="L361" s="134">
        <v>2000</v>
      </c>
    </row>
    <row r="362" spans="1:12" ht="15" hidden="1">
      <c r="A362" s="48"/>
      <c r="B362" s="48">
        <v>3613</v>
      </c>
      <c r="C362" s="48">
        <v>2129</v>
      </c>
      <c r="D362" s="48" t="s">
        <v>426</v>
      </c>
      <c r="E362" s="134">
        <v>0</v>
      </c>
      <c r="F362" s="134">
        <v>0</v>
      </c>
      <c r="G362" s="134">
        <v>223.3</v>
      </c>
      <c r="H362" s="134" t="e">
        <f t="shared" si="8"/>
        <v>#DIV/0!</v>
      </c>
      <c r="I362" s="134">
        <v>0</v>
      </c>
      <c r="J362" s="134">
        <v>0</v>
      </c>
      <c r="K362" s="134">
        <v>0</v>
      </c>
      <c r="L362" s="134">
        <v>0</v>
      </c>
    </row>
    <row r="363" spans="1:12" ht="15">
      <c r="A363" s="91"/>
      <c r="B363" s="91">
        <v>3613</v>
      </c>
      <c r="C363" s="91">
        <v>2132</v>
      </c>
      <c r="D363" s="48" t="s">
        <v>427</v>
      </c>
      <c r="E363" s="134">
        <v>0</v>
      </c>
      <c r="F363" s="134">
        <v>1506</v>
      </c>
      <c r="G363" s="134">
        <v>0</v>
      </c>
      <c r="H363" s="134">
        <f t="shared" si="8"/>
        <v>0</v>
      </c>
      <c r="I363" s="134">
        <v>1506</v>
      </c>
      <c r="J363" s="134">
        <v>5000</v>
      </c>
      <c r="K363" s="134">
        <v>4500</v>
      </c>
      <c r="L363" s="134">
        <v>4500</v>
      </c>
    </row>
    <row r="364" spans="1:12" ht="15">
      <c r="A364" s="91"/>
      <c r="B364" s="48">
        <v>3634</v>
      </c>
      <c r="C364" s="48">
        <v>2132</v>
      </c>
      <c r="D364" s="48" t="s">
        <v>410</v>
      </c>
      <c r="E364" s="135">
        <v>0</v>
      </c>
      <c r="F364" s="135">
        <v>0</v>
      </c>
      <c r="G364" s="135">
        <v>0</v>
      </c>
      <c r="H364" s="135" t="e">
        <f t="shared" si="8"/>
        <v>#DIV/0!</v>
      </c>
      <c r="I364" s="135">
        <v>0</v>
      </c>
      <c r="J364" s="135">
        <v>5275.2204</v>
      </c>
      <c r="K364" s="135">
        <v>4201</v>
      </c>
      <c r="L364" s="135">
        <v>4201</v>
      </c>
    </row>
    <row r="365" spans="1:12" ht="15" customHeight="1" thickBot="1">
      <c r="A365" s="112"/>
      <c r="B365" s="112"/>
      <c r="C365" s="112"/>
      <c r="D365" s="112"/>
      <c r="E365" s="141"/>
      <c r="F365" s="141"/>
      <c r="G365" s="141"/>
      <c r="H365" s="141"/>
      <c r="I365" s="141"/>
      <c r="J365" s="141"/>
      <c r="K365" s="141"/>
      <c r="L365" s="141"/>
    </row>
    <row r="366" spans="1:12" s="77" customFormat="1" ht="21.75" customHeight="1" thickBot="1" thickTop="1">
      <c r="A366" s="114"/>
      <c r="B366" s="114"/>
      <c r="C366" s="114"/>
      <c r="D366" s="115" t="s">
        <v>428</v>
      </c>
      <c r="E366" s="142">
        <f>SUM(E358:E365)</f>
        <v>0</v>
      </c>
      <c r="F366" s="142">
        <f>SUM(F358:F365)</f>
        <v>9040</v>
      </c>
      <c r="G366" s="142">
        <f>SUM(G359:G365)</f>
        <v>1649.3</v>
      </c>
      <c r="H366" s="143">
        <f>(G366/F366)*100</f>
        <v>18.24446902654867</v>
      </c>
      <c r="I366" s="142">
        <f>SUM(I358:I365)</f>
        <v>9040</v>
      </c>
      <c r="J366" s="142">
        <f>SUM(J358:J365)</f>
        <v>27419.2204</v>
      </c>
      <c r="K366" s="142">
        <f>SUM(K358:K365)</f>
        <v>24345</v>
      </c>
      <c r="L366" s="142">
        <f>SUM(L358:L365)</f>
        <v>24345</v>
      </c>
    </row>
    <row r="367" spans="1:12" ht="15" customHeight="1">
      <c r="A367" s="77"/>
      <c r="B367" s="109"/>
      <c r="C367" s="109"/>
      <c r="D367" s="109"/>
      <c r="E367" s="178"/>
      <c r="F367" s="178"/>
      <c r="G367" s="170"/>
      <c r="H367" s="170"/>
      <c r="I367" s="178"/>
      <c r="J367" s="178"/>
      <c r="K367" s="178"/>
      <c r="L367" s="178"/>
    </row>
    <row r="368" spans="1:12" ht="15" customHeight="1">
      <c r="A368" s="77"/>
      <c r="B368" s="109"/>
      <c r="C368" s="109"/>
      <c r="D368" s="109"/>
      <c r="E368" s="178"/>
      <c r="F368" s="178"/>
      <c r="G368" s="178"/>
      <c r="H368" s="178"/>
      <c r="I368" s="178"/>
      <c r="J368" s="178"/>
      <c r="K368" s="178"/>
      <c r="L368" s="178"/>
    </row>
    <row r="369" spans="1:12" ht="15" customHeight="1" hidden="1">
      <c r="A369" s="77"/>
      <c r="B369" s="109"/>
      <c r="C369" s="109"/>
      <c r="D369" s="109"/>
      <c r="E369" s="178"/>
      <c r="F369" s="178"/>
      <c r="G369" s="178"/>
      <c r="H369" s="178"/>
      <c r="I369" s="178"/>
      <c r="J369" s="178"/>
      <c r="K369" s="178"/>
      <c r="L369" s="178"/>
    </row>
    <row r="370" spans="1:12" ht="15" customHeight="1" hidden="1" thickBot="1">
      <c r="A370" s="77"/>
      <c r="B370" s="109"/>
      <c r="C370" s="109"/>
      <c r="D370" s="109"/>
      <c r="E370" s="178"/>
      <c r="F370" s="178"/>
      <c r="G370" s="178"/>
      <c r="H370" s="178"/>
      <c r="I370" s="178"/>
      <c r="J370" s="178"/>
      <c r="K370" s="178"/>
      <c r="L370" s="178"/>
    </row>
    <row r="371" spans="1:12" ht="15.75" hidden="1">
      <c r="A371" s="160" t="s">
        <v>2</v>
      </c>
      <c r="B371" s="160" t="s">
        <v>3</v>
      </c>
      <c r="C371" s="160" t="s">
        <v>219</v>
      </c>
      <c r="D371" s="161" t="s">
        <v>4</v>
      </c>
      <c r="E371" s="167" t="s">
        <v>5</v>
      </c>
      <c r="F371" s="167" t="s">
        <v>5</v>
      </c>
      <c r="G371" s="167" t="s">
        <v>6</v>
      </c>
      <c r="H371" s="167" t="s">
        <v>220</v>
      </c>
      <c r="I371" s="167" t="s">
        <v>458</v>
      </c>
      <c r="J371" s="167" t="s">
        <v>5</v>
      </c>
      <c r="K371" s="167" t="s">
        <v>5</v>
      </c>
      <c r="L371" s="167" t="s">
        <v>5</v>
      </c>
    </row>
    <row r="372" spans="1:12" ht="15.75" customHeight="1" hidden="1" thickBot="1">
      <c r="A372" s="163"/>
      <c r="B372" s="163"/>
      <c r="C372" s="163"/>
      <c r="D372" s="164"/>
      <c r="E372" s="168" t="s">
        <v>8</v>
      </c>
      <c r="F372" s="168" t="s">
        <v>9</v>
      </c>
      <c r="G372" s="168" t="s">
        <v>22</v>
      </c>
      <c r="H372" s="168" t="s">
        <v>221</v>
      </c>
      <c r="I372" s="168">
        <v>2010</v>
      </c>
      <c r="J372" s="168">
        <v>2011</v>
      </c>
      <c r="K372" s="168">
        <v>2012</v>
      </c>
      <c r="L372" s="168" t="s">
        <v>459</v>
      </c>
    </row>
    <row r="373" spans="1:12" ht="16.5" hidden="1" thickTop="1">
      <c r="A373" s="88">
        <v>8888</v>
      </c>
      <c r="B373" s="88"/>
      <c r="C373" s="88"/>
      <c r="D373" s="89"/>
      <c r="E373" s="146"/>
      <c r="F373" s="146"/>
      <c r="G373" s="146"/>
      <c r="H373" s="146"/>
      <c r="I373" s="146"/>
      <c r="J373" s="146"/>
      <c r="K373" s="146"/>
      <c r="L373" s="146"/>
    </row>
    <row r="374" spans="1:12" ht="15" hidden="1">
      <c r="A374" s="48"/>
      <c r="B374" s="48">
        <v>6171</v>
      </c>
      <c r="C374" s="48">
        <v>2329</v>
      </c>
      <c r="D374" s="48" t="s">
        <v>429</v>
      </c>
      <c r="E374" s="134">
        <v>0</v>
      </c>
      <c r="F374" s="134">
        <v>0</v>
      </c>
      <c r="G374" s="134">
        <v>0</v>
      </c>
      <c r="H374" s="134" t="e">
        <f>(G374/F374)*100</f>
        <v>#DIV/0!</v>
      </c>
      <c r="I374" s="134">
        <v>0</v>
      </c>
      <c r="J374" s="134">
        <v>0</v>
      </c>
      <c r="K374" s="134">
        <v>0</v>
      </c>
      <c r="L374" s="134">
        <v>0</v>
      </c>
    </row>
    <row r="375" spans="1:12" ht="15" hidden="1">
      <c r="A375" s="48"/>
      <c r="B375" s="48"/>
      <c r="C375" s="48"/>
      <c r="D375" s="48" t="s">
        <v>430</v>
      </c>
      <c r="E375" s="134"/>
      <c r="F375" s="134"/>
      <c r="G375" s="134"/>
      <c r="H375" s="134"/>
      <c r="I375" s="134"/>
      <c r="J375" s="134"/>
      <c r="K375" s="134"/>
      <c r="L375" s="134"/>
    </row>
    <row r="376" spans="1:12" ht="15.75" hidden="1" thickBot="1">
      <c r="A376" s="112"/>
      <c r="B376" s="112"/>
      <c r="C376" s="112"/>
      <c r="D376" s="112" t="s">
        <v>431</v>
      </c>
      <c r="E376" s="141"/>
      <c r="F376" s="141"/>
      <c r="G376" s="141"/>
      <c r="H376" s="141"/>
      <c r="I376" s="141"/>
      <c r="J376" s="141"/>
      <c r="K376" s="141"/>
      <c r="L376" s="141"/>
    </row>
    <row r="377" spans="1:12" s="77" customFormat="1" ht="22.5" customHeight="1" hidden="1" thickBot="1" thickTop="1">
      <c r="A377" s="114"/>
      <c r="B377" s="114"/>
      <c r="C377" s="114"/>
      <c r="D377" s="115" t="s">
        <v>432</v>
      </c>
      <c r="E377" s="142">
        <f>SUM(E374:E375)</f>
        <v>0</v>
      </c>
      <c r="F377" s="142">
        <f>SUM(F374:F375)</f>
        <v>0</v>
      </c>
      <c r="G377" s="142">
        <f>SUM(G374:G375)</f>
        <v>0</v>
      </c>
      <c r="H377" s="143" t="e">
        <f>(G377/F377)*100</f>
        <v>#DIV/0!</v>
      </c>
      <c r="I377" s="142">
        <f>SUM(I374:I375)</f>
        <v>0</v>
      </c>
      <c r="J377" s="142">
        <f>SUM(J374:J375)</f>
        <v>0</v>
      </c>
      <c r="K377" s="142">
        <f>SUM(K374:K375)</f>
        <v>0</v>
      </c>
      <c r="L377" s="142">
        <f>SUM(L374:L375)</f>
        <v>0</v>
      </c>
    </row>
    <row r="378" spans="1:12" ht="15" hidden="1">
      <c r="A378" s="77"/>
      <c r="B378" s="109"/>
      <c r="C378" s="109"/>
      <c r="D378" s="109"/>
      <c r="E378" s="178"/>
      <c r="F378" s="178"/>
      <c r="G378" s="178"/>
      <c r="H378" s="178"/>
      <c r="I378" s="178"/>
      <c r="J378" s="178"/>
      <c r="K378" s="178"/>
      <c r="L378" s="178"/>
    </row>
    <row r="379" spans="1:12" ht="15" hidden="1">
      <c r="A379" s="77"/>
      <c r="B379" s="109"/>
      <c r="C379" s="109"/>
      <c r="D379" s="109"/>
      <c r="E379" s="178"/>
      <c r="F379" s="178"/>
      <c r="G379" s="178"/>
      <c r="H379" s="178"/>
      <c r="I379" s="178"/>
      <c r="J379" s="178"/>
      <c r="K379" s="178"/>
      <c r="L379" s="178"/>
    </row>
    <row r="380" spans="1:12" ht="15" hidden="1">
      <c r="A380" s="77"/>
      <c r="B380" s="109"/>
      <c r="C380" s="109"/>
      <c r="D380" s="109"/>
      <c r="E380" s="178"/>
      <c r="F380" s="178"/>
      <c r="G380" s="178"/>
      <c r="H380" s="178"/>
      <c r="I380" s="178"/>
      <c r="J380" s="178"/>
      <c r="K380" s="178"/>
      <c r="L380" s="178"/>
    </row>
    <row r="381" spans="1:12" ht="15" hidden="1">
      <c r="A381" s="77"/>
      <c r="B381" s="109"/>
      <c r="C381" s="109"/>
      <c r="D381" s="109"/>
      <c r="E381" s="178"/>
      <c r="F381" s="178"/>
      <c r="G381" s="178"/>
      <c r="H381" s="178"/>
      <c r="I381" s="178"/>
      <c r="J381" s="178"/>
      <c r="K381" s="178"/>
      <c r="L381" s="178"/>
    </row>
    <row r="382" spans="1:12" ht="15" hidden="1">
      <c r="A382" s="77"/>
      <c r="B382" s="109"/>
      <c r="C382" s="109"/>
      <c r="D382" s="109"/>
      <c r="E382" s="178"/>
      <c r="F382" s="178"/>
      <c r="G382" s="178"/>
      <c r="H382" s="178"/>
      <c r="I382" s="178"/>
      <c r="J382" s="178"/>
      <c r="K382" s="178"/>
      <c r="L382" s="178"/>
    </row>
    <row r="383" spans="1:12" ht="15" hidden="1">
      <c r="A383" s="77"/>
      <c r="B383" s="109"/>
      <c r="C383" s="109"/>
      <c r="D383" s="109"/>
      <c r="E383" s="178"/>
      <c r="F383" s="178"/>
      <c r="G383" s="178"/>
      <c r="H383" s="178"/>
      <c r="I383" s="178"/>
      <c r="J383" s="178"/>
      <c r="K383" s="178"/>
      <c r="L383" s="178"/>
    </row>
    <row r="384" spans="1:12" ht="15" customHeight="1" hidden="1">
      <c r="A384" s="77"/>
      <c r="B384" s="109"/>
      <c r="C384" s="109"/>
      <c r="D384" s="109"/>
      <c r="E384" s="178"/>
      <c r="F384" s="178"/>
      <c r="G384" s="178"/>
      <c r="H384" s="178"/>
      <c r="I384" s="178"/>
      <c r="J384" s="178"/>
      <c r="K384" s="178"/>
      <c r="L384" s="178"/>
    </row>
    <row r="385" spans="1:12" ht="15" customHeight="1" thickBot="1">
      <c r="A385" s="77"/>
      <c r="B385" s="77"/>
      <c r="C385" s="77"/>
      <c r="D385" s="77"/>
      <c r="E385" s="79"/>
      <c r="F385" s="79"/>
      <c r="G385" s="79"/>
      <c r="H385" s="79"/>
      <c r="I385" s="79"/>
      <c r="J385" s="79"/>
      <c r="K385" s="79"/>
      <c r="L385" s="79"/>
    </row>
    <row r="386" spans="1:12" ht="18">
      <c r="A386" s="160" t="s">
        <v>2</v>
      </c>
      <c r="B386" s="160" t="s">
        <v>3</v>
      </c>
      <c r="C386" s="160" t="s">
        <v>219</v>
      </c>
      <c r="D386" s="209" t="s">
        <v>484</v>
      </c>
      <c r="E386" s="162" t="s">
        <v>489</v>
      </c>
      <c r="F386" s="162" t="s">
        <v>490</v>
      </c>
      <c r="G386" s="162" t="s">
        <v>6</v>
      </c>
      <c r="H386" s="162" t="s">
        <v>220</v>
      </c>
      <c r="I386" s="162" t="s">
        <v>458</v>
      </c>
      <c r="J386" s="162" t="s">
        <v>5</v>
      </c>
      <c r="K386" s="162" t="s">
        <v>5</v>
      </c>
      <c r="L386" s="162" t="s">
        <v>5</v>
      </c>
    </row>
    <row r="387" spans="1:12" ht="15.75" customHeight="1" thickBot="1">
      <c r="A387" s="163"/>
      <c r="B387" s="163"/>
      <c r="C387" s="163"/>
      <c r="D387" s="164"/>
      <c r="E387" s="166">
        <v>2010</v>
      </c>
      <c r="F387" s="166">
        <v>2010</v>
      </c>
      <c r="G387" s="166" t="s">
        <v>22</v>
      </c>
      <c r="H387" s="165" t="s">
        <v>221</v>
      </c>
      <c r="I387" s="166">
        <v>2010</v>
      </c>
      <c r="J387" s="166">
        <v>2011</v>
      </c>
      <c r="K387" s="166">
        <v>2012</v>
      </c>
      <c r="L387" s="166" t="s">
        <v>459</v>
      </c>
    </row>
    <row r="388" spans="1:12" s="77" customFormat="1" ht="30.75" customHeight="1" thickBot="1" thickTop="1">
      <c r="A388" s="115"/>
      <c r="B388" s="119"/>
      <c r="C388" s="120"/>
      <c r="D388" s="121" t="s">
        <v>433</v>
      </c>
      <c r="E388" s="180">
        <f>SUM(E47,E73,E136,E172,E205,E220,E235,E251,E275,E311,E345,E366,E377)</f>
        <v>650602</v>
      </c>
      <c r="F388" s="180">
        <f>SUM(F47,F73,F136,F172,F205,F220,F235,F251,F275,F311,F345,F366,F377)</f>
        <v>668604.5</v>
      </c>
      <c r="G388" s="180">
        <f>SUM(G47,G73,G136,G172,G205,G220,G235,G251,G275,G311,G345,G366,G377)</f>
        <v>474517.10000000003</v>
      </c>
      <c r="H388" s="180">
        <f>(G388/F388)*100</f>
        <v>70.97126926306959</v>
      </c>
      <c r="I388" s="180">
        <f>SUM(I47,I73,I136,I172,I205,I220,I235,I251,I275,I311,I345,I366,I377)</f>
        <v>654624.84</v>
      </c>
      <c r="J388" s="180">
        <f>SUM(J47,J73,J136,J172,J205,J220,J235,J251,J275,J311,J345,J366,J377)</f>
        <v>544182.8014</v>
      </c>
      <c r="K388" s="180">
        <f>SUM(K47,K73,K136,K172,K205,K220,K235,K251,K275,K311,K345,K366,K377)</f>
        <v>511121</v>
      </c>
      <c r="L388" s="180">
        <f>SUM(L47,L73,L136,L172,L205,L220,L235,L251,L275,L311,L345,L366,L377)</f>
        <v>519401</v>
      </c>
    </row>
    <row r="389" spans="1:12" ht="15" customHeight="1">
      <c r="A389" s="84"/>
      <c r="B389" s="122"/>
      <c r="C389" s="123"/>
      <c r="D389" s="124"/>
      <c r="E389" s="181"/>
      <c r="F389" s="181"/>
      <c r="G389" s="181"/>
      <c r="H389" s="181"/>
      <c r="I389" s="181"/>
      <c r="J389" s="181"/>
      <c r="K389" s="181"/>
      <c r="L389" s="181"/>
    </row>
    <row r="390" spans="1:12" ht="15" customHeight="1" hidden="1">
      <c r="A390" s="84"/>
      <c r="B390" s="122"/>
      <c r="C390" s="123"/>
      <c r="D390" s="124"/>
      <c r="E390" s="181"/>
      <c r="F390" s="181"/>
      <c r="G390" s="181"/>
      <c r="H390" s="181"/>
      <c r="I390" s="181"/>
      <c r="J390" s="181"/>
      <c r="K390" s="181"/>
      <c r="L390" s="181"/>
    </row>
    <row r="391" spans="1:12" ht="12.75" customHeight="1" hidden="1">
      <c r="A391" s="84"/>
      <c r="B391" s="122"/>
      <c r="C391" s="123"/>
      <c r="D391" s="124"/>
      <c r="E391" s="181"/>
      <c r="F391" s="181"/>
      <c r="G391" s="181"/>
      <c r="H391" s="181"/>
      <c r="I391" s="181"/>
      <c r="J391" s="181"/>
      <c r="K391" s="181"/>
      <c r="L391" s="181"/>
    </row>
    <row r="392" spans="1:12" ht="12.75" customHeight="1" hidden="1">
      <c r="A392" s="84"/>
      <c r="B392" s="122"/>
      <c r="C392" s="123"/>
      <c r="D392" s="124"/>
      <c r="E392" s="181"/>
      <c r="F392" s="181"/>
      <c r="G392" s="181"/>
      <c r="H392" s="181"/>
      <c r="I392" s="181"/>
      <c r="J392" s="181"/>
      <c r="K392" s="181"/>
      <c r="L392" s="181"/>
    </row>
    <row r="393" spans="1:12" ht="12.75" customHeight="1" hidden="1">
      <c r="A393" s="84"/>
      <c r="B393" s="122"/>
      <c r="C393" s="123"/>
      <c r="D393" s="124"/>
      <c r="E393" s="181"/>
      <c r="F393" s="181"/>
      <c r="G393" s="181"/>
      <c r="H393" s="181"/>
      <c r="I393" s="181"/>
      <c r="J393" s="181"/>
      <c r="K393" s="181"/>
      <c r="L393" s="181"/>
    </row>
    <row r="394" spans="1:12" ht="12.75" customHeight="1" hidden="1">
      <c r="A394" s="84"/>
      <c r="B394" s="122"/>
      <c r="C394" s="123"/>
      <c r="D394" s="124"/>
      <c r="E394" s="181"/>
      <c r="F394" s="181"/>
      <c r="G394" s="181"/>
      <c r="H394" s="181"/>
      <c r="I394" s="181"/>
      <c r="J394" s="181"/>
      <c r="K394" s="181"/>
      <c r="L394" s="181"/>
    </row>
    <row r="395" spans="1:12" ht="12.75" customHeight="1" hidden="1">
      <c r="A395" s="84"/>
      <c r="B395" s="122"/>
      <c r="C395" s="123"/>
      <c r="D395" s="124"/>
      <c r="E395" s="181"/>
      <c r="F395" s="181"/>
      <c r="G395" s="181"/>
      <c r="H395" s="181"/>
      <c r="I395" s="181"/>
      <c r="J395" s="181"/>
      <c r="K395" s="181"/>
      <c r="L395" s="181"/>
    </row>
    <row r="396" spans="1:12" ht="12.75" customHeight="1" hidden="1">
      <c r="A396" s="84"/>
      <c r="B396" s="122"/>
      <c r="C396" s="123"/>
      <c r="D396" s="124"/>
      <c r="E396" s="181"/>
      <c r="F396" s="181"/>
      <c r="G396" s="181"/>
      <c r="H396" s="181"/>
      <c r="I396" s="181"/>
      <c r="J396" s="181"/>
      <c r="K396" s="181"/>
      <c r="L396" s="181"/>
    </row>
    <row r="397" spans="1:12" ht="15" customHeight="1">
      <c r="A397" s="84"/>
      <c r="B397" s="122"/>
      <c r="C397" s="123"/>
      <c r="D397" s="124"/>
      <c r="E397" s="181"/>
      <c r="F397" s="181"/>
      <c r="G397" s="181"/>
      <c r="H397" s="181"/>
      <c r="I397" s="181"/>
      <c r="J397" s="181"/>
      <c r="K397" s="181"/>
      <c r="L397" s="181"/>
    </row>
    <row r="398" spans="1:12" ht="15" customHeight="1" thickBot="1">
      <c r="A398" s="84"/>
      <c r="B398" s="122"/>
      <c r="C398" s="123"/>
      <c r="D398" s="124"/>
      <c r="E398" s="182"/>
      <c r="F398" s="182"/>
      <c r="G398" s="182"/>
      <c r="H398" s="182"/>
      <c r="I398" s="182"/>
      <c r="J398" s="182"/>
      <c r="K398" s="182"/>
      <c r="L398" s="182"/>
    </row>
    <row r="399" spans="1:12" ht="18">
      <c r="A399" s="160" t="s">
        <v>2</v>
      </c>
      <c r="B399" s="160" t="s">
        <v>3</v>
      </c>
      <c r="C399" s="160" t="s">
        <v>219</v>
      </c>
      <c r="D399" s="209" t="s">
        <v>484</v>
      </c>
      <c r="E399" s="162" t="s">
        <v>489</v>
      </c>
      <c r="F399" s="162" t="s">
        <v>490</v>
      </c>
      <c r="G399" s="162" t="s">
        <v>6</v>
      </c>
      <c r="H399" s="162" t="s">
        <v>220</v>
      </c>
      <c r="I399" s="162" t="s">
        <v>458</v>
      </c>
      <c r="J399" s="162" t="s">
        <v>5</v>
      </c>
      <c r="K399" s="162" t="s">
        <v>5</v>
      </c>
      <c r="L399" s="162" t="s">
        <v>5</v>
      </c>
    </row>
    <row r="400" spans="1:12" ht="15.75" customHeight="1" thickBot="1">
      <c r="A400" s="163"/>
      <c r="B400" s="163"/>
      <c r="C400" s="163"/>
      <c r="D400" s="164"/>
      <c r="E400" s="166">
        <v>2010</v>
      </c>
      <c r="F400" s="166">
        <v>2010</v>
      </c>
      <c r="G400" s="166" t="s">
        <v>22</v>
      </c>
      <c r="H400" s="165" t="s">
        <v>221</v>
      </c>
      <c r="I400" s="166">
        <v>2010</v>
      </c>
      <c r="J400" s="166">
        <v>2011</v>
      </c>
      <c r="K400" s="166">
        <v>2012</v>
      </c>
      <c r="L400" s="166" t="s">
        <v>459</v>
      </c>
    </row>
    <row r="401" spans="1:12" ht="16.5" customHeight="1" thickTop="1">
      <c r="A401" s="117">
        <v>110</v>
      </c>
      <c r="B401" s="117"/>
      <c r="C401" s="117"/>
      <c r="D401" s="125" t="s">
        <v>434</v>
      </c>
      <c r="E401" s="183"/>
      <c r="F401" s="183"/>
      <c r="G401" s="183"/>
      <c r="H401" s="183"/>
      <c r="I401" s="183"/>
      <c r="J401" s="183"/>
      <c r="K401" s="183"/>
      <c r="L401" s="183"/>
    </row>
    <row r="402" spans="1:12" ht="14.25" customHeight="1">
      <c r="A402" s="126"/>
      <c r="B402" s="126"/>
      <c r="C402" s="126"/>
      <c r="D402" s="84"/>
      <c r="E402" s="183"/>
      <c r="F402" s="183"/>
      <c r="G402" s="183"/>
      <c r="H402" s="183"/>
      <c r="I402" s="183"/>
      <c r="J402" s="183"/>
      <c r="K402" s="183"/>
      <c r="L402" s="183"/>
    </row>
    <row r="403" spans="1:12" ht="15" customHeight="1">
      <c r="A403" s="48"/>
      <c r="B403" s="48"/>
      <c r="C403" s="48">
        <v>8115</v>
      </c>
      <c r="D403" s="50" t="s">
        <v>435</v>
      </c>
      <c r="E403" s="184">
        <v>6478</v>
      </c>
      <c r="F403" s="184">
        <v>164691.7</v>
      </c>
      <c r="G403" s="184">
        <v>87611</v>
      </c>
      <c r="H403" s="134">
        <f>(G403/F403)*100</f>
        <v>53.19697349653929</v>
      </c>
      <c r="I403" s="184">
        <v>164560</v>
      </c>
      <c r="J403" s="184">
        <v>17805</v>
      </c>
      <c r="K403" s="184">
        <v>0</v>
      </c>
      <c r="L403" s="184">
        <v>0</v>
      </c>
    </row>
    <row r="404" spans="1:12" ht="15" hidden="1">
      <c r="A404" s="48"/>
      <c r="B404" s="48"/>
      <c r="C404" s="48">
        <v>8123</v>
      </c>
      <c r="D404" s="127" t="s">
        <v>436</v>
      </c>
      <c r="E404" s="135"/>
      <c r="F404" s="135"/>
      <c r="G404" s="135"/>
      <c r="H404" s="134" t="e">
        <f>(G404/F404)*100</f>
        <v>#DIV/0!</v>
      </c>
      <c r="I404" s="135"/>
      <c r="J404" s="135"/>
      <c r="K404" s="135"/>
      <c r="L404" s="135"/>
    </row>
    <row r="405" spans="1:12" ht="14.25" customHeight="1" thickBot="1">
      <c r="A405" s="48"/>
      <c r="B405" s="48"/>
      <c r="C405" s="48">
        <v>8124</v>
      </c>
      <c r="D405" s="50" t="s">
        <v>437</v>
      </c>
      <c r="E405" s="134">
        <v>-18378</v>
      </c>
      <c r="F405" s="134">
        <v>-18378</v>
      </c>
      <c r="G405" s="134">
        <v>-10928</v>
      </c>
      <c r="H405" s="134">
        <f>(G405/F405)*100</f>
        <v>59.46240069648493</v>
      </c>
      <c r="I405" s="134">
        <v>-18378</v>
      </c>
      <c r="J405" s="134">
        <v>-17805</v>
      </c>
      <c r="K405" s="134">
        <v>-17914</v>
      </c>
      <c r="L405" s="134">
        <v>-18032</v>
      </c>
    </row>
    <row r="406" spans="1:12" ht="15" customHeight="1" hidden="1" thickBot="1">
      <c r="A406" s="118"/>
      <c r="B406" s="118"/>
      <c r="C406" s="118">
        <v>8902</v>
      </c>
      <c r="D406" s="128" t="s">
        <v>438</v>
      </c>
      <c r="E406" s="157">
        <v>0</v>
      </c>
      <c r="F406" s="157">
        <v>0</v>
      </c>
      <c r="G406" s="157">
        <v>0</v>
      </c>
      <c r="H406" s="134" t="e">
        <f>(G406/F406)*100</f>
        <v>#DIV/0!</v>
      </c>
      <c r="I406" s="157">
        <v>0</v>
      </c>
      <c r="J406" s="157">
        <v>0</v>
      </c>
      <c r="K406" s="157">
        <v>0</v>
      </c>
      <c r="L406" s="157">
        <v>0</v>
      </c>
    </row>
    <row r="407" spans="1:12" s="77" customFormat="1" ht="22.5" customHeight="1" thickBot="1" thickTop="1">
      <c r="A407" s="114"/>
      <c r="B407" s="114"/>
      <c r="C407" s="114"/>
      <c r="D407" s="129" t="s">
        <v>439</v>
      </c>
      <c r="E407" s="142">
        <f>SUM(E403:E406)</f>
        <v>-11900</v>
      </c>
      <c r="F407" s="142">
        <f>SUM(F403:F406)</f>
        <v>146313.7</v>
      </c>
      <c r="G407" s="142">
        <f>SUM(G403:G406)</f>
        <v>76683</v>
      </c>
      <c r="H407" s="143">
        <f>(G407/F407)*100</f>
        <v>52.40999304918132</v>
      </c>
      <c r="I407" s="142">
        <f>SUM(I403:I406)</f>
        <v>146182</v>
      </c>
      <c r="J407" s="142">
        <f>SUM(J403:J406)</f>
        <v>0</v>
      </c>
      <c r="K407" s="142">
        <f>SUM(K403:K406)</f>
        <v>-17914</v>
      </c>
      <c r="L407" s="142">
        <f>SUM(L403:L406)</f>
        <v>-18032</v>
      </c>
    </row>
    <row r="408" spans="1:12" s="77" customFormat="1" ht="22.5" customHeight="1">
      <c r="A408" s="109"/>
      <c r="B408" s="109"/>
      <c r="C408" s="109"/>
      <c r="D408" s="84"/>
      <c r="E408" s="110"/>
      <c r="F408" s="110"/>
      <c r="G408" s="110"/>
      <c r="H408" s="110"/>
      <c r="I408" s="110"/>
      <c r="J408" s="110"/>
      <c r="K408" s="110"/>
      <c r="L408" s="110"/>
    </row>
    <row r="409" spans="1:12" ht="15" customHeight="1">
      <c r="A409" s="77" t="s">
        <v>440</v>
      </c>
      <c r="B409" s="77"/>
      <c r="C409" s="77"/>
      <c r="D409" s="84"/>
      <c r="E409" s="110"/>
      <c r="F409" s="110"/>
      <c r="G409" s="110"/>
      <c r="H409" s="110"/>
      <c r="I409" s="110"/>
      <c r="J409" s="110"/>
      <c r="K409" s="110"/>
      <c r="L409" s="110"/>
    </row>
    <row r="410" spans="1:12" ht="15">
      <c r="A410" s="109"/>
      <c r="B410" s="77"/>
      <c r="C410" s="109"/>
      <c r="D410" s="77"/>
      <c r="E410" s="78"/>
      <c r="F410" s="78"/>
      <c r="G410" s="78"/>
      <c r="H410" s="78"/>
      <c r="I410" s="78"/>
      <c r="J410" s="78"/>
      <c r="K410" s="78"/>
      <c r="L410" s="78"/>
    </row>
    <row r="411" spans="1:12" ht="15">
      <c r="A411" s="109"/>
      <c r="B411" s="109"/>
      <c r="C411" s="109"/>
      <c r="D411" s="77"/>
      <c r="E411" s="78"/>
      <c r="F411" s="78"/>
      <c r="G411" s="78"/>
      <c r="H411" s="78"/>
      <c r="I411" s="78"/>
      <c r="J411" s="78"/>
      <c r="K411" s="78"/>
      <c r="L411" s="78"/>
    </row>
    <row r="412" spans="1:12" ht="15" hidden="1">
      <c r="A412" s="29"/>
      <c r="B412" s="29"/>
      <c r="C412" s="29"/>
      <c r="D412" s="10" t="s">
        <v>441</v>
      </c>
      <c r="E412" s="61" t="e">
        <f>SUM(E14,E146,E147,E244,E269,E300,#REF!)</f>
        <v>#REF!</v>
      </c>
      <c r="F412" s="61"/>
      <c r="G412" s="61"/>
      <c r="H412" s="61"/>
      <c r="I412" s="61" t="e">
        <f>SUM(I14,I146,I147,I244,I269,I300,#REF!)</f>
        <v>#REF!</v>
      </c>
      <c r="J412" s="61" t="e">
        <f>SUM(J14,J146,J147,J244,J269,J300,#REF!)</f>
        <v>#REF!</v>
      </c>
      <c r="K412" s="61" t="e">
        <f>SUM(K14,K146,K147,K244,K269,K300,#REF!)</f>
        <v>#REF!</v>
      </c>
      <c r="L412" s="61" t="e">
        <f>SUM(L14,L146,L147,L244,L269,L300,#REF!)</f>
        <v>#REF!</v>
      </c>
    </row>
    <row r="413" spans="1:12" ht="15">
      <c r="A413" s="29"/>
      <c r="B413" s="29"/>
      <c r="C413" s="29"/>
      <c r="D413" s="30" t="s">
        <v>442</v>
      </c>
      <c r="E413" s="191">
        <f>E388+E407</f>
        <v>638702</v>
      </c>
      <c r="F413" s="191">
        <f>F388+F407</f>
        <v>814918.2</v>
      </c>
      <c r="G413" s="191">
        <f>G388+G407</f>
        <v>551200.1000000001</v>
      </c>
      <c r="H413" s="134">
        <f>(G413/F413)*100</f>
        <v>67.63870287839934</v>
      </c>
      <c r="I413" s="191">
        <f>I388+I407</f>
        <v>800806.84</v>
      </c>
      <c r="J413" s="191">
        <f>J388+J407</f>
        <v>544182.8014</v>
      </c>
      <c r="K413" s="191">
        <f>K388+K407</f>
        <v>493207</v>
      </c>
      <c r="L413" s="191">
        <f>L388+L407</f>
        <v>501369</v>
      </c>
    </row>
    <row r="414" spans="1:12" ht="15">
      <c r="A414" s="29"/>
      <c r="B414" s="29"/>
      <c r="C414" s="29"/>
      <c r="D414" s="30" t="s">
        <v>443</v>
      </c>
      <c r="E414" s="51"/>
      <c r="F414" s="51"/>
      <c r="G414" s="51"/>
      <c r="H414" s="51"/>
      <c r="I414" s="51"/>
      <c r="J414" s="51"/>
      <c r="K414" s="51"/>
      <c r="L414" s="51"/>
    </row>
    <row r="415" spans="1:12" ht="15" hidden="1">
      <c r="A415" s="29"/>
      <c r="B415" s="29"/>
      <c r="C415" s="29"/>
      <c r="D415" s="29" t="s">
        <v>444</v>
      </c>
      <c r="E415" s="130">
        <f>SUM(E272,E326,E328,E335,E340)</f>
        <v>35785</v>
      </c>
      <c r="F415" s="130"/>
      <c r="G415" s="130"/>
      <c r="H415" s="130"/>
      <c r="I415" s="130">
        <f>SUM(I272,I326,I328,I335,I340)</f>
        <v>32369.3</v>
      </c>
      <c r="J415" s="130">
        <f>SUM(J272,J326,J328,J335,J340)</f>
        <v>18700</v>
      </c>
      <c r="K415" s="130">
        <f>SUM(K272,K326,K328,K335,K340)</f>
        <v>7600</v>
      </c>
      <c r="L415" s="130">
        <f>SUM(L272,L326,L328,L335,L340)</f>
        <v>7600</v>
      </c>
    </row>
    <row r="416" spans="1:12" ht="15" hidden="1">
      <c r="A416" s="10"/>
      <c r="B416" s="10"/>
      <c r="C416" s="10"/>
      <c r="D416" s="10" t="s">
        <v>445</v>
      </c>
      <c r="E416" s="61"/>
      <c r="F416" s="61"/>
      <c r="G416" s="61"/>
      <c r="H416" s="61"/>
      <c r="I416" s="61"/>
      <c r="J416" s="61"/>
      <c r="K416" s="61"/>
      <c r="L416" s="61"/>
    </row>
    <row r="417" spans="1:12" ht="15" hidden="1">
      <c r="A417" s="10"/>
      <c r="B417" s="10"/>
      <c r="C417" s="10"/>
      <c r="D417" s="10" t="s">
        <v>444</v>
      </c>
      <c r="E417" s="61"/>
      <c r="F417" s="61"/>
      <c r="G417" s="61"/>
      <c r="H417" s="61"/>
      <c r="I417" s="61"/>
      <c r="J417" s="61"/>
      <c r="K417" s="61"/>
      <c r="L417" s="61"/>
    </row>
    <row r="418" spans="1:12" ht="15" hidden="1">
      <c r="A418" s="10"/>
      <c r="B418" s="10"/>
      <c r="C418" s="10"/>
      <c r="D418" s="10"/>
      <c r="E418" s="61"/>
      <c r="F418" s="61"/>
      <c r="G418" s="61"/>
      <c r="H418" s="61"/>
      <c r="I418" s="61"/>
      <c r="J418" s="61"/>
      <c r="K418" s="61"/>
      <c r="L418" s="61"/>
    </row>
    <row r="419" spans="1:12" ht="15" hidden="1">
      <c r="A419" s="10"/>
      <c r="B419" s="10"/>
      <c r="C419" s="10"/>
      <c r="D419" s="10" t="s">
        <v>446</v>
      </c>
      <c r="E419" s="61"/>
      <c r="F419" s="61"/>
      <c r="G419" s="61"/>
      <c r="H419" s="61"/>
      <c r="I419" s="61"/>
      <c r="J419" s="61"/>
      <c r="K419" s="61"/>
      <c r="L419" s="61"/>
    </row>
    <row r="420" spans="1:12" ht="15" hidden="1">
      <c r="A420" s="10"/>
      <c r="B420" s="10"/>
      <c r="C420" s="10"/>
      <c r="D420" s="10" t="s">
        <v>447</v>
      </c>
      <c r="E420" s="61"/>
      <c r="F420" s="61"/>
      <c r="G420" s="61"/>
      <c r="H420" s="61"/>
      <c r="I420" s="61"/>
      <c r="J420" s="61"/>
      <c r="K420" s="61"/>
      <c r="L420" s="61"/>
    </row>
    <row r="421" spans="1:12" ht="15" hidden="1">
      <c r="A421" s="10"/>
      <c r="B421" s="10"/>
      <c r="C421" s="10"/>
      <c r="D421" s="10" t="s">
        <v>448</v>
      </c>
      <c r="E421" s="61">
        <f>SUM(E11,E12,E86,E87,E88,E145,E191,E192,E193,E194,E195,E216,E228,E230,E270,E284,E285,E286,E287,E288,E289,E292,E293,E294,E296,E297,E298)</f>
        <v>342678</v>
      </c>
      <c r="F421" s="61"/>
      <c r="G421" s="61"/>
      <c r="H421" s="61"/>
      <c r="I421" s="61">
        <f>SUM(I11,I12,I86,I87,I88,I145,I191,I192,I193,I194,I195,I216,I228,I230,I270,I284,I285,I286,I287,I288,I289,I292,I293,I294,I296,I297,I298)</f>
        <v>324266.1</v>
      </c>
      <c r="J421" s="61">
        <f>SUM(J11,J12,J86,J87,J88,J145,J191,J192,J193,J194,J195,J216,J228,J230,J270,J284,J285,J286,J287,J288,J289,J292,J293,J294,J296,J297,J298)</f>
        <v>270503</v>
      </c>
      <c r="K421" s="61">
        <f>SUM(K11,K12,K86,K87,K88,K145,K191,K192,K193,K194,K195,K216,K228,K230,K270,K284,K285,K286,K287,K288,K289,K292,K293,K294,K296,K297,K298)</f>
        <v>269848</v>
      </c>
      <c r="L421" s="61">
        <f>SUM(L11,L12,L86,L87,L88,L145,L191,L192,L193,L194,L195,L216,L228,L230,L270,L284,L285,L286,L287,L288,L289,L292,L293,L294,L296,L297,L298)</f>
        <v>276078</v>
      </c>
    </row>
    <row r="422" spans="1:12" ht="15.75" hidden="1">
      <c r="A422" s="10"/>
      <c r="B422" s="10"/>
      <c r="C422" s="10"/>
      <c r="D422" s="37" t="s">
        <v>449</v>
      </c>
      <c r="E422" s="131">
        <v>0</v>
      </c>
      <c r="F422" s="131"/>
      <c r="G422" s="131"/>
      <c r="H422" s="131"/>
      <c r="I422" s="131">
        <v>0</v>
      </c>
      <c r="J422" s="131">
        <v>0</v>
      </c>
      <c r="K422" s="131">
        <v>0</v>
      </c>
      <c r="L422" s="131">
        <v>0</v>
      </c>
    </row>
    <row r="423" spans="1:12" ht="15" hidden="1">
      <c r="A423" s="10"/>
      <c r="B423" s="10"/>
      <c r="C423" s="10"/>
      <c r="D423" s="10"/>
      <c r="E423" s="61"/>
      <c r="F423" s="61"/>
      <c r="G423" s="61"/>
      <c r="H423" s="61"/>
      <c r="I423" s="61"/>
      <c r="J423" s="61"/>
      <c r="K423" s="61"/>
      <c r="L423" s="61"/>
    </row>
    <row r="424" spans="1:12" ht="15" hidden="1">
      <c r="A424" s="10"/>
      <c r="B424" s="10"/>
      <c r="C424" s="10"/>
      <c r="D424" s="10"/>
      <c r="E424" s="61"/>
      <c r="F424" s="61"/>
      <c r="G424" s="61"/>
      <c r="H424" s="61"/>
      <c r="I424" s="61"/>
      <c r="J424" s="61"/>
      <c r="K424" s="61"/>
      <c r="L424" s="61"/>
    </row>
    <row r="425" spans="1:12" ht="15" hidden="1">
      <c r="A425" s="10"/>
      <c r="B425" s="10"/>
      <c r="C425" s="10"/>
      <c r="D425" s="10"/>
      <c r="E425" s="61"/>
      <c r="F425" s="61"/>
      <c r="G425" s="61"/>
      <c r="H425" s="61"/>
      <c r="I425" s="61"/>
      <c r="J425" s="61"/>
      <c r="K425" s="61"/>
      <c r="L425" s="61"/>
    </row>
    <row r="426" spans="1:12" ht="15" hidden="1">
      <c r="A426" s="10"/>
      <c r="B426" s="10"/>
      <c r="C426" s="10"/>
      <c r="D426" s="10"/>
      <c r="E426" s="61"/>
      <c r="F426" s="61"/>
      <c r="G426" s="61"/>
      <c r="H426" s="61"/>
      <c r="I426" s="61"/>
      <c r="J426" s="61"/>
      <c r="K426" s="61"/>
      <c r="L426" s="61"/>
    </row>
    <row r="427" spans="1:12" ht="15.75" hidden="1">
      <c r="A427" s="10"/>
      <c r="B427" s="10"/>
      <c r="C427" s="10"/>
      <c r="D427" s="10" t="s">
        <v>445</v>
      </c>
      <c r="E427" s="131">
        <f aca="true" t="shared" si="9" ref="E427:L427">SUM(E11,E12,E86,E87,E88,E89,E145,E191,E192,E193,E194,E195,E216,E228,E229,E230,E269,E284,E285,E286,E287,E288,E289,E292,E293,E294,E296,E297,E298)</f>
        <v>343438</v>
      </c>
      <c r="F427" s="131">
        <f t="shared" si="9"/>
        <v>340269</v>
      </c>
      <c r="G427" s="131">
        <f t="shared" si="9"/>
        <v>247916.5</v>
      </c>
      <c r="H427" s="131" t="e">
        <f t="shared" si="9"/>
        <v>#DIV/0!</v>
      </c>
      <c r="I427" s="131">
        <f t="shared" si="9"/>
        <v>324786.1</v>
      </c>
      <c r="J427" s="131">
        <f t="shared" si="9"/>
        <v>270963</v>
      </c>
      <c r="K427" s="131">
        <f t="shared" si="9"/>
        <v>270308</v>
      </c>
      <c r="L427" s="131">
        <f t="shared" si="9"/>
        <v>276538</v>
      </c>
    </row>
    <row r="428" spans="1:12" ht="15" hidden="1">
      <c r="A428" s="10"/>
      <c r="B428" s="10"/>
      <c r="C428" s="10"/>
      <c r="D428" s="10" t="s">
        <v>450</v>
      </c>
      <c r="E428" s="61">
        <f aca="true" t="shared" si="10" ref="E428:L428">SUM(E284,E285,E286,E287,E289)</f>
        <v>209800</v>
      </c>
      <c r="F428" s="61">
        <f t="shared" si="10"/>
        <v>209800</v>
      </c>
      <c r="G428" s="61">
        <f t="shared" si="10"/>
        <v>138460.09999999998</v>
      </c>
      <c r="H428" s="61">
        <f t="shared" si="10"/>
        <v>324.93002733742287</v>
      </c>
      <c r="I428" s="61">
        <f t="shared" si="10"/>
        <v>199620</v>
      </c>
      <c r="J428" s="61">
        <f t="shared" si="10"/>
        <v>206090</v>
      </c>
      <c r="K428" s="61">
        <f t="shared" si="10"/>
        <v>211200</v>
      </c>
      <c r="L428" s="61">
        <f t="shared" si="10"/>
        <v>217480</v>
      </c>
    </row>
    <row r="429" spans="1:12" ht="15" hidden="1">
      <c r="A429" s="10"/>
      <c r="B429" s="10"/>
      <c r="C429" s="10"/>
      <c r="D429" s="10" t="s">
        <v>451</v>
      </c>
      <c r="E429" s="61">
        <f aca="true" t="shared" si="11" ref="E429:L429">SUM(E11,E86,E87,E88,E292,E293,E294)</f>
        <v>16555</v>
      </c>
      <c r="F429" s="61">
        <f t="shared" si="11"/>
        <v>16555</v>
      </c>
      <c r="G429" s="61">
        <f t="shared" si="11"/>
        <v>13788.1</v>
      </c>
      <c r="H429" s="61">
        <f t="shared" si="11"/>
        <v>471.6213646170442</v>
      </c>
      <c r="I429" s="61">
        <f t="shared" si="11"/>
        <v>15450</v>
      </c>
      <c r="J429" s="61">
        <f t="shared" si="11"/>
        <v>18350</v>
      </c>
      <c r="K429" s="61">
        <f t="shared" si="11"/>
        <v>13950</v>
      </c>
      <c r="L429" s="61">
        <f t="shared" si="11"/>
        <v>13950</v>
      </c>
    </row>
    <row r="430" spans="1:12" ht="15" hidden="1">
      <c r="A430" s="10"/>
      <c r="B430" s="10"/>
      <c r="C430" s="10"/>
      <c r="D430" s="10" t="s">
        <v>452</v>
      </c>
      <c r="E430" s="61">
        <f aca="true" t="shared" si="12" ref="E430:L430">SUM(E12,E89,E145,E195,E216,E230,E269,E297)</f>
        <v>13513</v>
      </c>
      <c r="F430" s="61">
        <f t="shared" si="12"/>
        <v>13513</v>
      </c>
      <c r="G430" s="61">
        <f t="shared" si="12"/>
        <v>6889</v>
      </c>
      <c r="H430" s="61">
        <f t="shared" si="12"/>
        <v>591.6097020387886</v>
      </c>
      <c r="I430" s="61">
        <f t="shared" si="12"/>
        <v>10174.1</v>
      </c>
      <c r="J430" s="61">
        <f t="shared" si="12"/>
        <v>9333</v>
      </c>
      <c r="K430" s="61">
        <f t="shared" si="12"/>
        <v>9118</v>
      </c>
      <c r="L430" s="61">
        <f t="shared" si="12"/>
        <v>9068</v>
      </c>
    </row>
    <row r="431" spans="1:12" ht="15" hidden="1">
      <c r="A431" s="10"/>
      <c r="B431" s="10"/>
      <c r="C431" s="10"/>
      <c r="D431" s="10" t="s">
        <v>453</v>
      </c>
      <c r="E431" s="61"/>
      <c r="F431" s="61"/>
      <c r="G431" s="61"/>
      <c r="H431" s="61"/>
      <c r="I431" s="61"/>
      <c r="J431" s="61"/>
      <c r="K431" s="61"/>
      <c r="L431" s="61"/>
    </row>
    <row r="432" spans="1:12" ht="15" hidden="1">
      <c r="A432" s="10"/>
      <c r="B432" s="10"/>
      <c r="C432" s="10"/>
      <c r="D432" s="10" t="s">
        <v>454</v>
      </c>
      <c r="E432" s="61">
        <f aca="true" t="shared" si="13" ref="E432:L432">+E388-E427-E435-E436</f>
        <v>54245</v>
      </c>
      <c r="F432" s="61">
        <f t="shared" si="13"/>
        <v>60238.600000000006</v>
      </c>
      <c r="G432" s="61">
        <f t="shared" si="13"/>
        <v>40039.20000000004</v>
      </c>
      <c r="H432" s="61" t="e">
        <f t="shared" si="13"/>
        <v>#DIV/0!</v>
      </c>
      <c r="I432" s="61">
        <f t="shared" si="13"/>
        <v>57165.34</v>
      </c>
      <c r="J432" s="61">
        <f t="shared" si="13"/>
        <v>56599.22039999999</v>
      </c>
      <c r="K432" s="61">
        <f t="shared" si="13"/>
        <v>55092</v>
      </c>
      <c r="L432" s="61">
        <f t="shared" si="13"/>
        <v>57142</v>
      </c>
    </row>
    <row r="433" spans="1:12" ht="15" hidden="1">
      <c r="A433" s="10"/>
      <c r="B433" s="10"/>
      <c r="C433" s="10"/>
      <c r="D433" s="10" t="s">
        <v>455</v>
      </c>
      <c r="E433" s="61">
        <f>SUM(E21,E31,E39,E41,E103,E104,E109,E113,E124,E125,E129,E322,E327,E329,E330,E332,E360,E363,E364)</f>
        <v>25700</v>
      </c>
      <c r="F433" s="61">
        <f aca="true" t="shared" si="14" ref="F433:L433">SUM(F21,F31,F39,F41,F103,F104,F109,F113,F124,F125,F129,F322,F327,F329,F330,F332,F360,F363,F364)</f>
        <v>25700</v>
      </c>
      <c r="G433" s="61">
        <f t="shared" si="14"/>
        <v>19182.4</v>
      </c>
      <c r="H433" s="61" t="e">
        <f t="shared" si="14"/>
        <v>#DIV/0!</v>
      </c>
      <c r="I433" s="61">
        <f t="shared" si="14"/>
        <v>26243.7</v>
      </c>
      <c r="J433" s="61">
        <f t="shared" si="14"/>
        <v>23879.2204</v>
      </c>
      <c r="K433" s="61">
        <f t="shared" si="14"/>
        <v>20705</v>
      </c>
      <c r="L433" s="61">
        <f t="shared" si="14"/>
        <v>20705</v>
      </c>
    </row>
    <row r="434" spans="1:12" ht="15" hidden="1">
      <c r="A434" s="10"/>
      <c r="B434" s="10"/>
      <c r="C434" s="10"/>
      <c r="D434" s="10" t="s">
        <v>456</v>
      </c>
      <c r="E434" s="61">
        <f>SUM(E69,E167,E201,E217,E231,E246,E271)</f>
        <v>4900</v>
      </c>
      <c r="F434" s="61">
        <f aca="true" t="shared" si="15" ref="F434:L434">SUM(F69,F167,F201,F217,F231,F246,F271)</f>
        <v>4900</v>
      </c>
      <c r="G434" s="61">
        <f t="shared" si="15"/>
        <v>2733</v>
      </c>
      <c r="H434" s="61" t="e">
        <f t="shared" si="15"/>
        <v>#DIV/0!</v>
      </c>
      <c r="I434" s="61">
        <f t="shared" si="15"/>
        <v>4138.4</v>
      </c>
      <c r="J434" s="61">
        <f t="shared" si="15"/>
        <v>3980</v>
      </c>
      <c r="K434" s="61">
        <f t="shared" si="15"/>
        <v>3980</v>
      </c>
      <c r="L434" s="61">
        <f t="shared" si="15"/>
        <v>4030</v>
      </c>
    </row>
    <row r="435" spans="1:12" ht="15" hidden="1">
      <c r="A435" s="10"/>
      <c r="B435" s="10"/>
      <c r="C435" s="10"/>
      <c r="D435" s="10" t="s">
        <v>444</v>
      </c>
      <c r="E435" s="61">
        <f>SUM(E272,E326,E328,E335,E340)</f>
        <v>35785</v>
      </c>
      <c r="F435" s="61">
        <f aca="true" t="shared" si="16" ref="F435:L435">SUM(F272,F326,F328,F335,F340)</f>
        <v>35785</v>
      </c>
      <c r="G435" s="61">
        <f t="shared" si="16"/>
        <v>27408.5</v>
      </c>
      <c r="H435" s="61" t="e">
        <f t="shared" si="16"/>
        <v>#DIV/0!</v>
      </c>
      <c r="I435" s="61">
        <f t="shared" si="16"/>
        <v>32369.3</v>
      </c>
      <c r="J435" s="61">
        <f t="shared" si="16"/>
        <v>18700</v>
      </c>
      <c r="K435" s="61">
        <f t="shared" si="16"/>
        <v>7600</v>
      </c>
      <c r="L435" s="61">
        <f t="shared" si="16"/>
        <v>7600</v>
      </c>
    </row>
    <row r="436" spans="1:12" ht="15" hidden="1">
      <c r="A436" s="10"/>
      <c r="B436" s="10"/>
      <c r="C436" s="10"/>
      <c r="D436" s="10" t="s">
        <v>446</v>
      </c>
      <c r="E436" s="61">
        <f>SUM(E13,E14,E15,E55,E56,E57,E58,E59,E60,E61,E62,E63,E64,E65,E66,E67,E91,E92,E93,E94,E95,E97,E146,E147,E197,E198,E244,E300)</f>
        <v>217134</v>
      </c>
      <c r="F436" s="61">
        <f aca="true" t="shared" si="17" ref="F436:L436">SUM(F13,F14,F15,F55,F56,F57,F58,F59,F60,F61,F62,F63,F64,F65,F66,F67,F91,F92,F93,F94,F95,F97,F146,F147,F197,F198,F244,F300)</f>
        <v>232311.9</v>
      </c>
      <c r="G436" s="61">
        <f t="shared" si="17"/>
        <v>159152.9</v>
      </c>
      <c r="H436" s="61" t="e">
        <f t="shared" si="17"/>
        <v>#DIV/0!</v>
      </c>
      <c r="I436" s="61">
        <f t="shared" si="17"/>
        <v>240304.1</v>
      </c>
      <c r="J436" s="61">
        <f t="shared" si="17"/>
        <v>197920.581</v>
      </c>
      <c r="K436" s="61">
        <f t="shared" si="17"/>
        <v>178121</v>
      </c>
      <c r="L436" s="61">
        <f t="shared" si="17"/>
        <v>178121</v>
      </c>
    </row>
    <row r="437" spans="1:12" ht="15" hidden="1">
      <c r="A437" s="10"/>
      <c r="B437" s="10"/>
      <c r="C437" s="10"/>
      <c r="D437" s="10"/>
      <c r="E437" s="61"/>
      <c r="F437" s="61"/>
      <c r="G437" s="61"/>
      <c r="H437" s="61"/>
      <c r="I437" s="61"/>
      <c r="J437" s="61"/>
      <c r="K437" s="61"/>
      <c r="L437" s="61"/>
    </row>
    <row r="438" spans="1:12" ht="15" hidden="1">
      <c r="A438" s="10"/>
      <c r="B438" s="10"/>
      <c r="C438" s="10"/>
      <c r="D438" s="10"/>
      <c r="E438" s="61"/>
      <c r="F438" s="61"/>
      <c r="G438" s="61"/>
      <c r="H438" s="61"/>
      <c r="I438" s="61"/>
      <c r="J438" s="61"/>
      <c r="K438" s="61"/>
      <c r="L438" s="61"/>
    </row>
    <row r="439" spans="1:12" ht="15" hidden="1">
      <c r="A439" s="10"/>
      <c r="B439" s="10"/>
      <c r="C439" s="10"/>
      <c r="D439" s="10"/>
      <c r="E439" s="61">
        <f aca="true" t="shared" si="18" ref="E439:L439">SUM(E323,E326,E328,E335,E340)</f>
        <v>35785</v>
      </c>
      <c r="F439" s="61">
        <f t="shared" si="18"/>
        <v>35785</v>
      </c>
      <c r="G439" s="61">
        <f t="shared" si="18"/>
        <v>27292</v>
      </c>
      <c r="H439" s="61" t="e">
        <f t="shared" si="18"/>
        <v>#DIV/0!</v>
      </c>
      <c r="I439" s="61">
        <f t="shared" si="18"/>
        <v>32252.8</v>
      </c>
      <c r="J439" s="61">
        <f t="shared" si="18"/>
        <v>18700</v>
      </c>
      <c r="K439" s="61">
        <f t="shared" si="18"/>
        <v>7600</v>
      </c>
      <c r="L439" s="61">
        <f t="shared" si="18"/>
        <v>7600</v>
      </c>
    </row>
    <row r="440" spans="1:12" ht="15" hidden="1">
      <c r="A440" s="10"/>
      <c r="B440" s="10"/>
      <c r="C440" s="10"/>
      <c r="D440" s="10"/>
      <c r="E440" s="61" t="e">
        <f>SUM(#REF!,#REF!,E70,#REF!,#REF!,#REF!,#REF!,#REF!,#REF!,E270)</f>
        <v>#REF!</v>
      </c>
      <c r="F440" s="61" t="e">
        <f>SUM(#REF!,#REF!,F70,#REF!,#REF!,#REF!,#REF!,#REF!,#REF!,F270)</f>
        <v>#REF!</v>
      </c>
      <c r="G440" s="61" t="e">
        <f>SUM(#REF!,#REF!,G70,#REF!,#REF!,#REF!,#REF!,#REF!,#REF!,G270)</f>
        <v>#REF!</v>
      </c>
      <c r="H440" s="61" t="e">
        <f>SUM(#REF!,#REF!,H70,#REF!,#REF!,#REF!,#REF!,#REF!,#REF!,H270)</f>
        <v>#REF!</v>
      </c>
      <c r="I440" s="61" t="e">
        <f>SUM(#REF!,#REF!,I70,#REF!,#REF!,#REF!,#REF!,#REF!,#REF!,I270)</f>
        <v>#REF!</v>
      </c>
      <c r="J440" s="61" t="e">
        <f>SUM(#REF!,#REF!,J70,#REF!,#REF!,#REF!,#REF!,#REF!,#REF!,J270)</f>
        <v>#REF!</v>
      </c>
      <c r="K440" s="61" t="e">
        <f>SUM(#REF!,#REF!,K70,#REF!,#REF!,#REF!,#REF!,#REF!,#REF!,K270)</f>
        <v>#REF!</v>
      </c>
      <c r="L440" s="61" t="e">
        <f>SUM(#REF!,#REF!,L70,#REF!,#REF!,#REF!,#REF!,#REF!,#REF!,L270)</f>
        <v>#REF!</v>
      </c>
    </row>
    <row r="441" spans="1:12" ht="15" hidden="1">
      <c r="A441" s="10"/>
      <c r="B441" s="10"/>
      <c r="C441" s="10"/>
      <c r="D441" s="10"/>
      <c r="E441" s="61"/>
      <c r="F441" s="61"/>
      <c r="G441" s="61"/>
      <c r="H441" s="61"/>
      <c r="I441" s="61"/>
      <c r="J441" s="61"/>
      <c r="K441" s="61"/>
      <c r="L441" s="61"/>
    </row>
    <row r="442" spans="1:12" ht="15" hidden="1">
      <c r="A442" s="10"/>
      <c r="B442" s="10"/>
      <c r="C442" s="10"/>
      <c r="D442" s="10"/>
      <c r="E442" s="61" t="e">
        <f aca="true" t="shared" si="19" ref="E442:L442">SUM(E439:E441)</f>
        <v>#REF!</v>
      </c>
      <c r="F442" s="61" t="e">
        <f t="shared" si="19"/>
        <v>#REF!</v>
      </c>
      <c r="G442" s="61" t="e">
        <f t="shared" si="19"/>
        <v>#REF!</v>
      </c>
      <c r="H442" s="61" t="e">
        <f t="shared" si="19"/>
        <v>#DIV/0!</v>
      </c>
      <c r="I442" s="61" t="e">
        <f t="shared" si="19"/>
        <v>#REF!</v>
      </c>
      <c r="J442" s="61" t="e">
        <f t="shared" si="19"/>
        <v>#REF!</v>
      </c>
      <c r="K442" s="61" t="e">
        <f t="shared" si="19"/>
        <v>#REF!</v>
      </c>
      <c r="L442" s="61" t="e">
        <f t="shared" si="19"/>
        <v>#REF!</v>
      </c>
    </row>
    <row r="443" spans="1:12" ht="15">
      <c r="A443" s="10"/>
      <c r="B443" s="10"/>
      <c r="C443" s="10"/>
      <c r="D443" s="10"/>
      <c r="E443" s="61"/>
      <c r="F443" s="61"/>
      <c r="G443" s="61"/>
      <c r="H443" s="61"/>
      <c r="I443" s="61"/>
      <c r="J443" s="61"/>
      <c r="K443" s="61"/>
      <c r="L443" s="61"/>
    </row>
    <row r="444" spans="1:12" ht="15">
      <c r="A444" s="10"/>
      <c r="B444" s="10"/>
      <c r="C444" s="10"/>
      <c r="D444" s="10"/>
      <c r="E444" s="61"/>
      <c r="F444" s="61"/>
      <c r="G444" s="61"/>
      <c r="H444" s="61"/>
      <c r="I444" s="61"/>
      <c r="J444" s="61"/>
      <c r="K444" s="61"/>
      <c r="L444" s="61"/>
    </row>
    <row r="445" spans="1:12" ht="15">
      <c r="A445" s="10"/>
      <c r="B445" s="10"/>
      <c r="C445" s="10"/>
      <c r="D445" s="10"/>
      <c r="E445" s="61"/>
      <c r="F445" s="61"/>
      <c r="G445" s="61"/>
      <c r="H445" s="61"/>
      <c r="I445" s="61"/>
      <c r="J445" s="61"/>
      <c r="K445" s="61"/>
      <c r="L445" s="61"/>
    </row>
    <row r="446" spans="1:12" ht="15">
      <c r="A446" s="10"/>
      <c r="B446" s="10"/>
      <c r="C446" s="10"/>
      <c r="D446" s="10"/>
      <c r="E446" s="61"/>
      <c r="F446" s="61"/>
      <c r="G446" s="61"/>
      <c r="H446" s="61"/>
      <c r="I446" s="61"/>
      <c r="J446" s="61"/>
      <c r="K446" s="61"/>
      <c r="L446" s="61"/>
    </row>
    <row r="447" spans="1:12" ht="15">
      <c r="A447" s="10"/>
      <c r="B447" s="10"/>
      <c r="C447" s="10"/>
      <c r="D447" s="10"/>
      <c r="E447" s="61"/>
      <c r="F447" s="61"/>
      <c r="G447" s="61"/>
      <c r="H447" s="61"/>
      <c r="I447" s="61"/>
      <c r="J447" s="61"/>
      <c r="K447" s="61"/>
      <c r="L447" s="61"/>
    </row>
    <row r="448" spans="1:12" ht="15">
      <c r="A448" s="10"/>
      <c r="B448" s="10"/>
      <c r="C448" s="10"/>
      <c r="D448" s="10"/>
      <c r="E448" s="61"/>
      <c r="F448" s="61"/>
      <c r="G448" s="61"/>
      <c r="H448" s="61"/>
      <c r="I448" s="61"/>
      <c r="J448" s="61"/>
      <c r="K448" s="61"/>
      <c r="L448" s="61"/>
    </row>
    <row r="449" spans="1:12" ht="15">
      <c r="A449" s="10"/>
      <c r="B449" s="10"/>
      <c r="C449" s="10"/>
      <c r="D449" s="10"/>
      <c r="E449" s="61"/>
      <c r="F449" s="61"/>
      <c r="G449" s="61"/>
      <c r="H449" s="61"/>
      <c r="I449" s="61"/>
      <c r="J449" s="61"/>
      <c r="K449" s="61"/>
      <c r="L449" s="61"/>
    </row>
    <row r="450" spans="1:12" ht="15">
      <c r="A450" s="10"/>
      <c r="B450" s="10"/>
      <c r="C450" s="10"/>
      <c r="D450" s="10"/>
      <c r="E450" s="61"/>
      <c r="F450" s="61"/>
      <c r="G450" s="61"/>
      <c r="H450" s="61"/>
      <c r="I450" s="61"/>
      <c r="J450" s="61"/>
      <c r="K450" s="61"/>
      <c r="L450" s="61"/>
    </row>
    <row r="451" spans="1:12" ht="15">
      <c r="A451" s="10"/>
      <c r="B451" s="10"/>
      <c r="C451" s="10"/>
      <c r="D451" s="10"/>
      <c r="E451" s="61"/>
      <c r="F451" s="61"/>
      <c r="G451" s="61"/>
      <c r="H451" s="61"/>
      <c r="I451" s="61"/>
      <c r="J451" s="61"/>
      <c r="K451" s="61"/>
      <c r="L451" s="61"/>
    </row>
    <row r="452" spans="1:12" ht="15">
      <c r="A452" s="10"/>
      <c r="B452" s="10"/>
      <c r="C452" s="10"/>
      <c r="D452" s="10"/>
      <c r="E452" s="61"/>
      <c r="F452" s="61"/>
      <c r="G452" s="61"/>
      <c r="H452" s="61"/>
      <c r="I452" s="61"/>
      <c r="J452" s="61"/>
      <c r="K452" s="61"/>
      <c r="L452" s="61"/>
    </row>
    <row r="453" spans="1:12" ht="15">
      <c r="A453" s="10"/>
      <c r="B453" s="10"/>
      <c r="C453" s="10"/>
      <c r="D453" s="10"/>
      <c r="E453" s="61"/>
      <c r="F453" s="61"/>
      <c r="G453" s="61"/>
      <c r="H453" s="61"/>
      <c r="I453" s="61"/>
      <c r="J453" s="61"/>
      <c r="K453" s="61"/>
      <c r="L453" s="61"/>
    </row>
    <row r="454" spans="1:12" ht="15">
      <c r="A454" s="10"/>
      <c r="B454" s="10"/>
      <c r="C454" s="10"/>
      <c r="D454" s="10"/>
      <c r="E454" s="61"/>
      <c r="F454" s="61"/>
      <c r="G454" s="61"/>
      <c r="H454" s="61"/>
      <c r="I454" s="61"/>
      <c r="J454" s="61"/>
      <c r="K454" s="61"/>
      <c r="L454" s="61"/>
    </row>
    <row r="455" spans="1:12" ht="15">
      <c r="A455" s="10"/>
      <c r="B455" s="10"/>
      <c r="C455" s="10"/>
      <c r="D455" s="10"/>
      <c r="E455" s="61"/>
      <c r="F455" s="61"/>
      <c r="G455" s="61"/>
      <c r="H455" s="61"/>
      <c r="I455" s="61"/>
      <c r="J455" s="61"/>
      <c r="K455" s="61"/>
      <c r="L455" s="61"/>
    </row>
    <row r="456" spans="1:12" ht="15">
      <c r="A456" s="10"/>
      <c r="B456" s="10"/>
      <c r="C456" s="10"/>
      <c r="D456" s="10"/>
      <c r="E456" s="61"/>
      <c r="F456" s="61"/>
      <c r="G456" s="61"/>
      <c r="H456" s="61"/>
      <c r="I456" s="61"/>
      <c r="J456" s="61"/>
      <c r="K456" s="61"/>
      <c r="L456" s="61"/>
    </row>
    <row r="457" spans="1:12" ht="15">
      <c r="A457" s="10"/>
      <c r="B457" s="10"/>
      <c r="C457" s="10"/>
      <c r="D457" s="10"/>
      <c r="E457" s="61"/>
      <c r="F457" s="61"/>
      <c r="G457" s="61"/>
      <c r="H457" s="61"/>
      <c r="I457" s="61"/>
      <c r="J457" s="61"/>
      <c r="K457" s="61"/>
      <c r="L457" s="61"/>
    </row>
    <row r="458" spans="1:12" ht="15">
      <c r="A458" s="10"/>
      <c r="B458" s="10"/>
      <c r="C458" s="10"/>
      <c r="D458" s="10"/>
      <c r="E458" s="61"/>
      <c r="F458" s="61"/>
      <c r="G458" s="61"/>
      <c r="H458" s="61"/>
      <c r="I458" s="61"/>
      <c r="J458" s="61"/>
      <c r="K458" s="61"/>
      <c r="L458" s="61"/>
    </row>
    <row r="459" spans="1:12" ht="15">
      <c r="A459" s="10"/>
      <c r="B459" s="10"/>
      <c r="C459" s="10"/>
      <c r="D459" s="10"/>
      <c r="E459" s="61"/>
      <c r="F459" s="61"/>
      <c r="G459" s="61"/>
      <c r="H459" s="61"/>
      <c r="I459" s="61"/>
      <c r="J459" s="61"/>
      <c r="K459" s="61"/>
      <c r="L459" s="61"/>
    </row>
    <row r="460" spans="1:12" ht="15">
      <c r="A460" s="10"/>
      <c r="B460" s="10"/>
      <c r="C460" s="10"/>
      <c r="D460" s="10"/>
      <c r="E460" s="61"/>
      <c r="F460" s="61"/>
      <c r="G460" s="61"/>
      <c r="H460" s="61"/>
      <c r="I460" s="61"/>
      <c r="J460" s="61"/>
      <c r="K460" s="61"/>
      <c r="L460" s="61"/>
    </row>
    <row r="461" spans="1:12" ht="15">
      <c r="A461" s="10"/>
      <c r="B461" s="10"/>
      <c r="C461" s="10"/>
      <c r="D461" s="10"/>
      <c r="E461" s="61"/>
      <c r="F461" s="61"/>
      <c r="G461" s="61"/>
      <c r="H461" s="61"/>
      <c r="I461" s="61"/>
      <c r="J461" s="61"/>
      <c r="K461" s="61"/>
      <c r="L461" s="61"/>
    </row>
    <row r="462" spans="1:12" ht="15">
      <c r="A462" s="10"/>
      <c r="B462" s="10"/>
      <c r="C462" s="10"/>
      <c r="D462" s="10"/>
      <c r="E462" s="61"/>
      <c r="F462" s="61"/>
      <c r="G462" s="61"/>
      <c r="H462" s="61"/>
      <c r="I462" s="61"/>
      <c r="J462" s="61"/>
      <c r="K462" s="61"/>
      <c r="L462" s="61"/>
    </row>
    <row r="463" spans="1:12" ht="15">
      <c r="A463" s="10"/>
      <c r="B463" s="10"/>
      <c r="C463" s="10"/>
      <c r="D463" s="10"/>
      <c r="E463" s="61"/>
      <c r="F463" s="61"/>
      <c r="G463" s="61"/>
      <c r="H463" s="61"/>
      <c r="I463" s="61"/>
      <c r="J463" s="61"/>
      <c r="K463" s="61"/>
      <c r="L463" s="61"/>
    </row>
    <row r="464" spans="1:12" ht="15">
      <c r="A464" s="10"/>
      <c r="B464" s="10"/>
      <c r="C464" s="10"/>
      <c r="D464" s="10"/>
      <c r="E464" s="61"/>
      <c r="F464" s="61"/>
      <c r="G464" s="61"/>
      <c r="H464" s="61"/>
      <c r="I464" s="61"/>
      <c r="J464" s="61"/>
      <c r="K464" s="61"/>
      <c r="L464" s="61"/>
    </row>
    <row r="465" spans="1:12" ht="15">
      <c r="A465" s="10"/>
      <c r="B465" s="10"/>
      <c r="C465" s="10"/>
      <c r="D465" s="10"/>
      <c r="E465" s="61"/>
      <c r="F465" s="61"/>
      <c r="G465" s="61"/>
      <c r="H465" s="61"/>
      <c r="I465" s="61"/>
      <c r="J465" s="61"/>
      <c r="K465" s="61"/>
      <c r="L465" s="61"/>
    </row>
    <row r="466" spans="1:12" ht="15">
      <c r="A466" s="10"/>
      <c r="B466" s="10"/>
      <c r="C466" s="10"/>
      <c r="D466" s="10"/>
      <c r="E466" s="61"/>
      <c r="F466" s="61"/>
      <c r="G466" s="61"/>
      <c r="H466" s="61"/>
      <c r="I466" s="61"/>
      <c r="J466" s="61"/>
      <c r="K466" s="61"/>
      <c r="L466" s="61"/>
    </row>
    <row r="467" spans="1:12" ht="15">
      <c r="A467" s="10"/>
      <c r="B467" s="10"/>
      <c r="C467" s="10"/>
      <c r="D467" s="10"/>
      <c r="E467" s="61"/>
      <c r="F467" s="61"/>
      <c r="G467" s="61"/>
      <c r="H467" s="61"/>
      <c r="I467" s="61"/>
      <c r="J467" s="61"/>
      <c r="K467" s="61"/>
      <c r="L467" s="61"/>
    </row>
    <row r="468" spans="1:12" ht="15">
      <c r="A468" s="10"/>
      <c r="B468" s="10"/>
      <c r="C468" s="10"/>
      <c r="D468" s="10"/>
      <c r="E468" s="61"/>
      <c r="F468" s="61"/>
      <c r="G468" s="61"/>
      <c r="H468" s="61"/>
      <c r="I468" s="61"/>
      <c r="J468" s="61"/>
      <c r="K468" s="61"/>
      <c r="L468" s="61"/>
    </row>
    <row r="469" spans="1:12" ht="15">
      <c r="A469" s="10"/>
      <c r="B469" s="10"/>
      <c r="C469" s="10"/>
      <c r="D469" s="10"/>
      <c r="E469" s="61"/>
      <c r="F469" s="61"/>
      <c r="G469" s="61"/>
      <c r="H469" s="61"/>
      <c r="I469" s="61"/>
      <c r="J469" s="61"/>
      <c r="K469" s="61"/>
      <c r="L469" s="61"/>
    </row>
    <row r="470" spans="1:12" ht="15">
      <c r="A470" s="10"/>
      <c r="B470" s="10"/>
      <c r="C470" s="10"/>
      <c r="D470" s="10"/>
      <c r="E470" s="61"/>
      <c r="F470" s="61"/>
      <c r="G470" s="61"/>
      <c r="H470" s="61"/>
      <c r="I470" s="61"/>
      <c r="J470" s="61"/>
      <c r="K470" s="61"/>
      <c r="L470" s="61"/>
    </row>
    <row r="471" spans="1:12" ht="15">
      <c r="A471" s="10"/>
      <c r="B471" s="10"/>
      <c r="C471" s="10"/>
      <c r="D471" s="10"/>
      <c r="E471" s="61"/>
      <c r="F471" s="61"/>
      <c r="G471" s="61"/>
      <c r="H471" s="61"/>
      <c r="I471" s="61"/>
      <c r="J471" s="61"/>
      <c r="K471" s="61"/>
      <c r="L471" s="61"/>
    </row>
    <row r="472" spans="1:12" ht="15">
      <c r="A472" s="10"/>
      <c r="B472" s="10"/>
      <c r="C472" s="10"/>
      <c r="D472" s="10"/>
      <c r="E472" s="61"/>
      <c r="F472" s="61"/>
      <c r="G472" s="61"/>
      <c r="H472" s="61"/>
      <c r="I472" s="61"/>
      <c r="J472" s="61"/>
      <c r="K472" s="61"/>
      <c r="L472" s="61"/>
    </row>
    <row r="473" spans="1:12" ht="15">
      <c r="A473" s="10"/>
      <c r="B473" s="10"/>
      <c r="C473" s="10"/>
      <c r="D473" s="10"/>
      <c r="E473" s="61"/>
      <c r="F473" s="61"/>
      <c r="G473" s="61"/>
      <c r="H473" s="61"/>
      <c r="I473" s="61"/>
      <c r="J473" s="61"/>
      <c r="K473" s="61"/>
      <c r="L473" s="61"/>
    </row>
    <row r="474" spans="1:12" ht="15">
      <c r="A474" s="10"/>
      <c r="B474" s="10"/>
      <c r="C474" s="10"/>
      <c r="D474" s="10"/>
      <c r="E474" s="61"/>
      <c r="F474" s="61"/>
      <c r="G474" s="61"/>
      <c r="H474" s="61"/>
      <c r="I474" s="61"/>
      <c r="J474" s="61"/>
      <c r="K474" s="61"/>
      <c r="L474" s="61"/>
    </row>
    <row r="475" spans="1:12" ht="15">
      <c r="A475" s="10"/>
      <c r="B475" s="10"/>
      <c r="C475" s="10"/>
      <c r="D475" s="10"/>
      <c r="E475" s="61"/>
      <c r="F475" s="61"/>
      <c r="G475" s="61"/>
      <c r="H475" s="61"/>
      <c r="I475" s="61"/>
      <c r="J475" s="61"/>
      <c r="K475" s="61"/>
      <c r="L475" s="61"/>
    </row>
    <row r="476" spans="1:12" ht="15">
      <c r="A476" s="10"/>
      <c r="B476" s="10"/>
      <c r="C476" s="10"/>
      <c r="D476" s="10"/>
      <c r="E476" s="61"/>
      <c r="F476" s="61"/>
      <c r="G476" s="61"/>
      <c r="H476" s="61"/>
      <c r="I476" s="61"/>
      <c r="J476" s="61"/>
      <c r="K476" s="61"/>
      <c r="L476" s="61"/>
    </row>
    <row r="477" spans="1:12" ht="15">
      <c r="A477" s="10"/>
      <c r="B477" s="10"/>
      <c r="C477" s="10"/>
      <c r="D477" s="10"/>
      <c r="E477" s="61"/>
      <c r="F477" s="61"/>
      <c r="G477" s="61"/>
      <c r="H477" s="61"/>
      <c r="I477" s="61"/>
      <c r="J477" s="61"/>
      <c r="K477" s="61"/>
      <c r="L477" s="61"/>
    </row>
    <row r="478" spans="1:12" ht="15">
      <c r="A478" s="10"/>
      <c r="B478" s="10"/>
      <c r="C478" s="10"/>
      <c r="D478" s="10"/>
      <c r="E478" s="61"/>
      <c r="F478" s="61"/>
      <c r="G478" s="61"/>
      <c r="H478" s="61"/>
      <c r="I478" s="61"/>
      <c r="J478" s="61"/>
      <c r="K478" s="61"/>
      <c r="L478" s="61"/>
    </row>
  </sheetData>
  <sheetProtection/>
  <mergeCells count="2">
    <mergeCell ref="A2:C2"/>
    <mergeCell ref="A5:E5"/>
  </mergeCells>
  <printOptions/>
  <pageMargins left="0.9055118110236221" right="0.1968503937007874" top="0.2362204724409449" bottom="0.2362204724409449" header="0.03937007874015748" footer="0.07874015748031496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395"/>
  <sheetViews>
    <sheetView zoomScale="80" zoomScaleNormal="80" zoomScaleSheetLayoutView="100" zoomScalePageLayoutView="0" workbookViewId="0" topLeftCell="A1">
      <selection activeCell="U28" sqref="U28"/>
    </sheetView>
  </sheetViews>
  <sheetFormatPr defaultColWidth="9.140625" defaultRowHeight="12.75"/>
  <cols>
    <col min="1" max="1" width="8.8515625" style="6" customWidth="1"/>
    <col min="2" max="2" width="10.8515625" style="6" bestFit="1" customWidth="1"/>
    <col min="3" max="3" width="79.7109375" style="6" customWidth="1"/>
    <col min="4" max="4" width="15.7109375" style="6" customWidth="1"/>
    <col min="5" max="5" width="15.8515625" style="6" customWidth="1"/>
    <col min="6" max="18" width="15.8515625" style="6" hidden="1" customWidth="1"/>
    <col min="19" max="19" width="13.28125" style="6" hidden="1" customWidth="1"/>
    <col min="20" max="23" width="15.7109375" style="6" customWidth="1"/>
    <col min="24" max="16384" width="9.140625" style="6" customWidth="1"/>
  </cols>
  <sheetData>
    <row r="1" spans="1:23" ht="21" customHeight="1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  <c r="U1" s="4"/>
      <c r="V1" s="4"/>
      <c r="W1" s="208" t="s">
        <v>483</v>
      </c>
    </row>
    <row r="2" spans="1:3" ht="15.75" customHeight="1">
      <c r="A2" s="1"/>
      <c r="B2" s="2"/>
      <c r="C2" s="7"/>
    </row>
    <row r="3" spans="1:23" s="11" customFormat="1" ht="24" customHeight="1">
      <c r="A3" s="133" t="s">
        <v>463</v>
      </c>
      <c r="B3" s="133"/>
      <c r="C3" s="133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8"/>
      <c r="U3" s="8"/>
      <c r="V3" s="8"/>
      <c r="W3" s="8"/>
    </row>
    <row r="4" spans="4:23" s="10" customFormat="1" ht="15.75" customHeight="1" thickBot="1">
      <c r="D4" s="12"/>
      <c r="E4" s="1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2"/>
      <c r="T4" s="12"/>
      <c r="U4" s="12"/>
      <c r="V4" s="12"/>
      <c r="W4" s="9" t="s">
        <v>457</v>
      </c>
    </row>
    <row r="5" spans="1:23" s="10" customFormat="1" ht="15.75" customHeight="1">
      <c r="A5" s="148" t="s">
        <v>2</v>
      </c>
      <c r="B5" s="150" t="s">
        <v>3</v>
      </c>
      <c r="C5" s="211" t="s">
        <v>485</v>
      </c>
      <c r="D5" s="162" t="s">
        <v>489</v>
      </c>
      <c r="E5" s="162" t="s">
        <v>490</v>
      </c>
      <c r="F5" s="148" t="s">
        <v>6</v>
      </c>
      <c r="G5" s="148" t="s">
        <v>6</v>
      </c>
      <c r="H5" s="148" t="s">
        <v>6</v>
      </c>
      <c r="I5" s="148" t="s">
        <v>6</v>
      </c>
      <c r="J5" s="148" t="s">
        <v>6</v>
      </c>
      <c r="K5" s="148" t="s">
        <v>6</v>
      </c>
      <c r="L5" s="148" t="s">
        <v>6</v>
      </c>
      <c r="M5" s="148" t="s">
        <v>6</v>
      </c>
      <c r="N5" s="148" t="s">
        <v>6</v>
      </c>
      <c r="O5" s="148" t="s">
        <v>6</v>
      </c>
      <c r="P5" s="148" t="s">
        <v>6</v>
      </c>
      <c r="Q5" s="148" t="s">
        <v>6</v>
      </c>
      <c r="R5" s="148" t="s">
        <v>6</v>
      </c>
      <c r="S5" s="148" t="s">
        <v>7</v>
      </c>
      <c r="T5" s="148" t="s">
        <v>458</v>
      </c>
      <c r="U5" s="148" t="s">
        <v>5</v>
      </c>
      <c r="V5" s="148" t="s">
        <v>5</v>
      </c>
      <c r="W5" s="148" t="s">
        <v>5</v>
      </c>
    </row>
    <row r="6" spans="1:23" s="10" customFormat="1" ht="15.75" customHeight="1" thickBot="1">
      <c r="A6" s="151"/>
      <c r="B6" s="152"/>
      <c r="C6" s="210"/>
      <c r="D6" s="166">
        <v>2010</v>
      </c>
      <c r="E6" s="166">
        <v>2010</v>
      </c>
      <c r="F6" s="149" t="s">
        <v>10</v>
      </c>
      <c r="G6" s="149" t="s">
        <v>11</v>
      </c>
      <c r="H6" s="149" t="s">
        <v>12</v>
      </c>
      <c r="I6" s="149" t="s">
        <v>13</v>
      </c>
      <c r="J6" s="149" t="s">
        <v>14</v>
      </c>
      <c r="K6" s="149" t="s">
        <v>15</v>
      </c>
      <c r="L6" s="149" t="s">
        <v>16</v>
      </c>
      <c r="M6" s="149" t="s">
        <v>17</v>
      </c>
      <c r="N6" s="149" t="s">
        <v>18</v>
      </c>
      <c r="O6" s="149" t="s">
        <v>19</v>
      </c>
      <c r="P6" s="149" t="s">
        <v>20</v>
      </c>
      <c r="Q6" s="149" t="s">
        <v>21</v>
      </c>
      <c r="R6" s="149" t="s">
        <v>22</v>
      </c>
      <c r="S6" s="149" t="s">
        <v>23</v>
      </c>
      <c r="T6" s="149" t="s">
        <v>460</v>
      </c>
      <c r="U6" s="149" t="s">
        <v>461</v>
      </c>
      <c r="V6" s="149" t="s">
        <v>462</v>
      </c>
      <c r="W6" s="149" t="s">
        <v>459</v>
      </c>
    </row>
    <row r="7" spans="1:23" s="10" customFormat="1" ht="16.5" customHeight="1" thickTop="1">
      <c r="A7" s="13">
        <v>10</v>
      </c>
      <c r="B7" s="14"/>
      <c r="C7" s="15" t="s">
        <v>24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0" customFormat="1" ht="15" customHeight="1">
      <c r="A8" s="17"/>
      <c r="B8" s="18"/>
      <c r="C8" s="17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10" customFormat="1" ht="15" customHeight="1">
      <c r="A9" s="17"/>
      <c r="B9" s="20">
        <v>2143</v>
      </c>
      <c r="C9" s="21" t="s">
        <v>25</v>
      </c>
      <c r="D9" s="44">
        <v>12000</v>
      </c>
      <c r="E9" s="44">
        <v>17241.5</v>
      </c>
      <c r="F9" s="44">
        <v>5878.6</v>
      </c>
      <c r="G9" s="44">
        <f aca="true" t="shared" si="0" ref="G9:G33">H9-F9</f>
        <v>2244.5999999999995</v>
      </c>
      <c r="H9" s="44">
        <v>8123.2</v>
      </c>
      <c r="I9" s="44">
        <f aca="true" t="shared" si="1" ref="I9:I33">J9-H9</f>
        <v>1171.500000000001</v>
      </c>
      <c r="J9" s="44">
        <v>9294.7</v>
      </c>
      <c r="K9" s="44">
        <f aca="true" t="shared" si="2" ref="K9:K33">L9-J9</f>
        <v>1821.0999999999985</v>
      </c>
      <c r="L9" s="44">
        <v>11115.8</v>
      </c>
      <c r="M9" s="44">
        <f aca="true" t="shared" si="3" ref="M9:M33">N9-L9</f>
        <v>244.10000000000036</v>
      </c>
      <c r="N9" s="44">
        <v>11359.9</v>
      </c>
      <c r="O9" s="44">
        <f aca="true" t="shared" si="4" ref="O9:O33">P9-N9</f>
        <v>1043.300000000001</v>
      </c>
      <c r="P9" s="44">
        <v>12403.2</v>
      </c>
      <c r="Q9" s="44">
        <f aca="true" t="shared" si="5" ref="Q9:Q33">R9-P9</f>
        <v>355.6999999999989</v>
      </c>
      <c r="R9" s="44">
        <v>12758.9</v>
      </c>
      <c r="S9" s="44">
        <f>(R9/E9)*100</f>
        <v>74.00110199228605</v>
      </c>
      <c r="T9" s="44">
        <v>17525</v>
      </c>
      <c r="U9" s="44">
        <v>5663</v>
      </c>
      <c r="V9" s="44">
        <v>5700</v>
      </c>
      <c r="W9" s="44">
        <v>5700</v>
      </c>
    </row>
    <row r="10" spans="1:23" s="10" customFormat="1" ht="15">
      <c r="A10" s="21"/>
      <c r="B10" s="20">
        <v>3111</v>
      </c>
      <c r="C10" s="21" t="s">
        <v>26</v>
      </c>
      <c r="D10" s="144">
        <v>6980</v>
      </c>
      <c r="E10" s="144">
        <v>7280</v>
      </c>
      <c r="F10" s="144">
        <v>1160</v>
      </c>
      <c r="G10" s="44">
        <f t="shared" si="0"/>
        <v>580</v>
      </c>
      <c r="H10" s="144">
        <v>1740</v>
      </c>
      <c r="I10" s="44">
        <f t="shared" si="1"/>
        <v>580</v>
      </c>
      <c r="J10" s="144">
        <v>2320</v>
      </c>
      <c r="K10" s="44">
        <f t="shared" si="2"/>
        <v>580</v>
      </c>
      <c r="L10" s="144">
        <v>2900</v>
      </c>
      <c r="M10" s="44">
        <f t="shared" si="3"/>
        <v>580</v>
      </c>
      <c r="N10" s="144">
        <v>3480</v>
      </c>
      <c r="O10" s="44">
        <f t="shared" si="4"/>
        <v>590</v>
      </c>
      <c r="P10" s="144">
        <v>4070</v>
      </c>
      <c r="Q10" s="44">
        <f t="shared" si="5"/>
        <v>890</v>
      </c>
      <c r="R10" s="144">
        <v>4960</v>
      </c>
      <c r="S10" s="44">
        <f aca="true" t="shared" si="6" ref="S10:S33">(R10/E10)*100</f>
        <v>68.13186813186813</v>
      </c>
      <c r="T10" s="144">
        <v>7280</v>
      </c>
      <c r="U10" s="144">
        <v>7000</v>
      </c>
      <c r="V10" s="144">
        <v>7500</v>
      </c>
      <c r="W10" s="144">
        <v>7500</v>
      </c>
    </row>
    <row r="11" spans="1:23" s="10" customFormat="1" ht="15">
      <c r="A11" s="21"/>
      <c r="B11" s="20">
        <v>3113</v>
      </c>
      <c r="C11" s="21" t="s">
        <v>27</v>
      </c>
      <c r="D11" s="144">
        <v>31120</v>
      </c>
      <c r="E11" s="144">
        <v>33428</v>
      </c>
      <c r="F11" s="144">
        <v>5188</v>
      </c>
      <c r="G11" s="44">
        <f t="shared" si="0"/>
        <v>2594</v>
      </c>
      <c r="H11" s="144">
        <v>7782</v>
      </c>
      <c r="I11" s="44">
        <f t="shared" si="1"/>
        <v>2594</v>
      </c>
      <c r="J11" s="144">
        <v>10376</v>
      </c>
      <c r="K11" s="44">
        <f t="shared" si="2"/>
        <v>2594</v>
      </c>
      <c r="L11" s="144">
        <v>12970</v>
      </c>
      <c r="M11" s="44">
        <f t="shared" si="3"/>
        <v>2830.2999999999993</v>
      </c>
      <c r="N11" s="144">
        <v>15800.3</v>
      </c>
      <c r="O11" s="44">
        <f t="shared" si="4"/>
        <v>2893.4000000000015</v>
      </c>
      <c r="P11" s="144">
        <v>18693.7</v>
      </c>
      <c r="Q11" s="44">
        <f t="shared" si="5"/>
        <v>4004</v>
      </c>
      <c r="R11" s="144">
        <v>22697.7</v>
      </c>
      <c r="S11" s="44">
        <f t="shared" si="6"/>
        <v>67.90026325236329</v>
      </c>
      <c r="T11" s="144">
        <v>33428</v>
      </c>
      <c r="U11" s="144">
        <v>30500</v>
      </c>
      <c r="V11" s="144">
        <v>31000</v>
      </c>
      <c r="W11" s="144">
        <v>31000</v>
      </c>
    </row>
    <row r="12" spans="1:23" s="10" customFormat="1" ht="15">
      <c r="A12" s="21"/>
      <c r="B12" s="20">
        <v>3114</v>
      </c>
      <c r="C12" s="21" t="s">
        <v>28</v>
      </c>
      <c r="D12" s="144">
        <v>150</v>
      </c>
      <c r="E12" s="144">
        <v>150</v>
      </c>
      <c r="F12" s="144">
        <v>129.1</v>
      </c>
      <c r="G12" s="44">
        <f t="shared" si="0"/>
        <v>0</v>
      </c>
      <c r="H12" s="144">
        <v>129.1</v>
      </c>
      <c r="I12" s="44">
        <f t="shared" si="1"/>
        <v>0</v>
      </c>
      <c r="J12" s="144">
        <v>129.1</v>
      </c>
      <c r="K12" s="44">
        <f t="shared" si="2"/>
        <v>0</v>
      </c>
      <c r="L12" s="144">
        <v>129.1</v>
      </c>
      <c r="M12" s="44">
        <f t="shared" si="3"/>
        <v>0</v>
      </c>
      <c r="N12" s="144">
        <v>129.1</v>
      </c>
      <c r="O12" s="44">
        <f t="shared" si="4"/>
        <v>0</v>
      </c>
      <c r="P12" s="144">
        <v>129.1</v>
      </c>
      <c r="Q12" s="44">
        <f t="shared" si="5"/>
        <v>0</v>
      </c>
      <c r="R12" s="144">
        <v>129.1</v>
      </c>
      <c r="S12" s="44">
        <f t="shared" si="6"/>
        <v>86.06666666666666</v>
      </c>
      <c r="T12" s="144">
        <v>150</v>
      </c>
      <c r="U12" s="144">
        <v>150</v>
      </c>
      <c r="V12" s="144">
        <v>0</v>
      </c>
      <c r="W12" s="144">
        <v>0</v>
      </c>
    </row>
    <row r="13" spans="1:23" s="10" customFormat="1" ht="15">
      <c r="A13" s="21"/>
      <c r="B13" s="20">
        <v>3231</v>
      </c>
      <c r="C13" s="21" t="s">
        <v>29</v>
      </c>
      <c r="D13" s="144">
        <v>625</v>
      </c>
      <c r="E13" s="144">
        <v>625</v>
      </c>
      <c r="F13" s="144">
        <v>104</v>
      </c>
      <c r="G13" s="44">
        <f t="shared" si="0"/>
        <v>52</v>
      </c>
      <c r="H13" s="144">
        <v>156</v>
      </c>
      <c r="I13" s="44">
        <f t="shared" si="1"/>
        <v>52</v>
      </c>
      <c r="J13" s="144">
        <v>208</v>
      </c>
      <c r="K13" s="44">
        <f t="shared" si="2"/>
        <v>52</v>
      </c>
      <c r="L13" s="144">
        <v>260</v>
      </c>
      <c r="M13" s="44">
        <f t="shared" si="3"/>
        <v>52</v>
      </c>
      <c r="N13" s="144">
        <v>312</v>
      </c>
      <c r="O13" s="44">
        <f t="shared" si="4"/>
        <v>53</v>
      </c>
      <c r="P13" s="144">
        <v>365</v>
      </c>
      <c r="Q13" s="44">
        <f t="shared" si="5"/>
        <v>53</v>
      </c>
      <c r="R13" s="144">
        <v>418</v>
      </c>
      <c r="S13" s="44">
        <f t="shared" si="6"/>
        <v>66.88</v>
      </c>
      <c r="T13" s="144">
        <v>625</v>
      </c>
      <c r="U13" s="144">
        <v>650</v>
      </c>
      <c r="V13" s="144">
        <v>700</v>
      </c>
      <c r="W13" s="144">
        <v>700</v>
      </c>
    </row>
    <row r="14" spans="1:23" s="10" customFormat="1" ht="15">
      <c r="A14" s="21"/>
      <c r="B14" s="20">
        <v>3313</v>
      </c>
      <c r="C14" s="21" t="s">
        <v>30</v>
      </c>
      <c r="D14" s="44">
        <v>1300</v>
      </c>
      <c r="E14" s="44">
        <v>1458.8</v>
      </c>
      <c r="F14" s="44">
        <v>146.2</v>
      </c>
      <c r="G14" s="44">
        <f t="shared" si="0"/>
        <v>50.10000000000002</v>
      </c>
      <c r="H14" s="44">
        <v>196.3</v>
      </c>
      <c r="I14" s="44">
        <f t="shared" si="1"/>
        <v>370.90000000000003</v>
      </c>
      <c r="J14" s="44">
        <v>567.2</v>
      </c>
      <c r="K14" s="44">
        <f t="shared" si="2"/>
        <v>96.59999999999991</v>
      </c>
      <c r="L14" s="44">
        <v>663.8</v>
      </c>
      <c r="M14" s="44">
        <f t="shared" si="3"/>
        <v>11</v>
      </c>
      <c r="N14" s="44">
        <v>674.8</v>
      </c>
      <c r="O14" s="44">
        <f t="shared" si="4"/>
        <v>350.60000000000014</v>
      </c>
      <c r="P14" s="44">
        <v>1025.4</v>
      </c>
      <c r="Q14" s="44">
        <f t="shared" si="5"/>
        <v>10.5</v>
      </c>
      <c r="R14" s="44">
        <v>1035.9</v>
      </c>
      <c r="S14" s="44">
        <f t="shared" si="6"/>
        <v>71.01041952289555</v>
      </c>
      <c r="T14" s="44">
        <v>1458</v>
      </c>
      <c r="U14" s="44">
        <v>1460</v>
      </c>
      <c r="V14" s="44">
        <v>1460</v>
      </c>
      <c r="W14" s="44">
        <v>1460</v>
      </c>
    </row>
    <row r="15" spans="1:23" s="10" customFormat="1" ht="15" customHeight="1" hidden="1">
      <c r="A15" s="21"/>
      <c r="B15" s="20">
        <v>3314</v>
      </c>
      <c r="C15" s="21" t="s">
        <v>31</v>
      </c>
      <c r="D15" s="44"/>
      <c r="E15" s="44"/>
      <c r="F15" s="44"/>
      <c r="G15" s="44">
        <f t="shared" si="0"/>
        <v>0</v>
      </c>
      <c r="H15" s="44"/>
      <c r="I15" s="44">
        <f t="shared" si="1"/>
        <v>0</v>
      </c>
      <c r="J15" s="44"/>
      <c r="K15" s="44">
        <f t="shared" si="2"/>
        <v>0</v>
      </c>
      <c r="L15" s="44"/>
      <c r="M15" s="44">
        <f t="shared" si="3"/>
        <v>0</v>
      </c>
      <c r="N15" s="44"/>
      <c r="O15" s="44">
        <f t="shared" si="4"/>
        <v>0</v>
      </c>
      <c r="P15" s="44"/>
      <c r="Q15" s="44">
        <f t="shared" si="5"/>
        <v>0</v>
      </c>
      <c r="R15" s="44"/>
      <c r="S15" s="44" t="e">
        <f t="shared" si="6"/>
        <v>#DIV/0!</v>
      </c>
      <c r="T15" s="44"/>
      <c r="U15" s="44"/>
      <c r="V15" s="44"/>
      <c r="W15" s="44"/>
    </row>
    <row r="16" spans="1:23" s="10" customFormat="1" ht="15">
      <c r="A16" s="21"/>
      <c r="B16" s="20">
        <v>3314</v>
      </c>
      <c r="C16" s="21" t="s">
        <v>481</v>
      </c>
      <c r="D16" s="44">
        <f>7010+130</f>
        <v>7140</v>
      </c>
      <c r="E16" s="44">
        <v>7156</v>
      </c>
      <c r="F16" s="44">
        <v>1298</v>
      </c>
      <c r="G16" s="44">
        <f t="shared" si="0"/>
        <v>584</v>
      </c>
      <c r="H16" s="44">
        <v>1882</v>
      </c>
      <c r="I16" s="44">
        <f t="shared" si="1"/>
        <v>698</v>
      </c>
      <c r="J16" s="44">
        <v>2580</v>
      </c>
      <c r="K16" s="44">
        <f t="shared" si="2"/>
        <v>1140</v>
      </c>
      <c r="L16" s="44">
        <v>3720</v>
      </c>
      <c r="M16" s="44">
        <f t="shared" si="3"/>
        <v>16</v>
      </c>
      <c r="N16" s="44">
        <v>3736</v>
      </c>
      <c r="O16" s="44">
        <f t="shared" si="4"/>
        <v>570</v>
      </c>
      <c r="P16" s="44">
        <v>4306</v>
      </c>
      <c r="Q16" s="44">
        <f t="shared" si="5"/>
        <v>570</v>
      </c>
      <c r="R16" s="44">
        <v>4876</v>
      </c>
      <c r="S16" s="44">
        <f t="shared" si="6"/>
        <v>68.13862493012857</v>
      </c>
      <c r="T16" s="44">
        <v>7156</v>
      </c>
      <c r="U16" s="44">
        <v>6710</v>
      </c>
      <c r="V16" s="44">
        <v>7000</v>
      </c>
      <c r="W16" s="44">
        <v>7000</v>
      </c>
    </row>
    <row r="17" spans="1:23" s="10" customFormat="1" ht="13.5" customHeight="1" hidden="1">
      <c r="A17" s="21"/>
      <c r="B17" s="20">
        <v>3315</v>
      </c>
      <c r="C17" s="21" t="s">
        <v>32</v>
      </c>
      <c r="D17" s="44"/>
      <c r="E17" s="44"/>
      <c r="F17" s="44"/>
      <c r="G17" s="44">
        <f t="shared" si="0"/>
        <v>0</v>
      </c>
      <c r="H17" s="44"/>
      <c r="I17" s="44">
        <f t="shared" si="1"/>
        <v>0</v>
      </c>
      <c r="J17" s="44"/>
      <c r="K17" s="44">
        <f t="shared" si="2"/>
        <v>0</v>
      </c>
      <c r="L17" s="44"/>
      <c r="M17" s="44">
        <f t="shared" si="3"/>
        <v>0</v>
      </c>
      <c r="N17" s="44"/>
      <c r="O17" s="44">
        <f t="shared" si="4"/>
        <v>0</v>
      </c>
      <c r="P17" s="44"/>
      <c r="Q17" s="44">
        <f t="shared" si="5"/>
        <v>0</v>
      </c>
      <c r="R17" s="44"/>
      <c r="S17" s="44" t="e">
        <f t="shared" si="6"/>
        <v>#DIV/0!</v>
      </c>
      <c r="T17" s="44"/>
      <c r="U17" s="44"/>
      <c r="V17" s="44"/>
      <c r="W17" s="44"/>
    </row>
    <row r="18" spans="1:23" s="10" customFormat="1" ht="15">
      <c r="A18" s="21"/>
      <c r="B18" s="20">
        <v>3315</v>
      </c>
      <c r="C18" s="21" t="s">
        <v>482</v>
      </c>
      <c r="D18" s="44">
        <v>6350</v>
      </c>
      <c r="E18" s="44">
        <v>9077</v>
      </c>
      <c r="F18" s="44">
        <v>1060</v>
      </c>
      <c r="G18" s="44">
        <f t="shared" si="0"/>
        <v>530</v>
      </c>
      <c r="H18" s="44">
        <v>1590</v>
      </c>
      <c r="I18" s="44">
        <f t="shared" si="1"/>
        <v>1244</v>
      </c>
      <c r="J18" s="44">
        <v>2834</v>
      </c>
      <c r="K18" s="44">
        <f t="shared" si="2"/>
        <v>530</v>
      </c>
      <c r="L18" s="44">
        <v>3364</v>
      </c>
      <c r="M18" s="44">
        <f t="shared" si="3"/>
        <v>530</v>
      </c>
      <c r="N18" s="44">
        <v>3894</v>
      </c>
      <c r="O18" s="44">
        <f t="shared" si="4"/>
        <v>530</v>
      </c>
      <c r="P18" s="44">
        <v>4424</v>
      </c>
      <c r="Q18" s="44">
        <f t="shared" si="5"/>
        <v>530</v>
      </c>
      <c r="R18" s="44">
        <v>4954</v>
      </c>
      <c r="S18" s="44">
        <f t="shared" si="6"/>
        <v>54.57750358047812</v>
      </c>
      <c r="T18" s="44">
        <v>8944</v>
      </c>
      <c r="U18" s="44">
        <v>6000</v>
      </c>
      <c r="V18" s="44">
        <v>6000</v>
      </c>
      <c r="W18" s="44">
        <v>6000</v>
      </c>
    </row>
    <row r="19" spans="1:23" s="10" customFormat="1" ht="15">
      <c r="A19" s="21"/>
      <c r="B19" s="20"/>
      <c r="C19" s="21" t="s">
        <v>33</v>
      </c>
      <c r="D19" s="44">
        <v>2206</v>
      </c>
      <c r="E19" s="44">
        <v>2206</v>
      </c>
      <c r="F19" s="44">
        <v>100</v>
      </c>
      <c r="G19" s="44">
        <f t="shared" si="0"/>
        <v>0</v>
      </c>
      <c r="H19" s="44">
        <v>100</v>
      </c>
      <c r="I19" s="44">
        <f t="shared" si="1"/>
        <v>500</v>
      </c>
      <c r="J19" s="44">
        <v>600</v>
      </c>
      <c r="K19" s="44">
        <f t="shared" si="2"/>
        <v>500</v>
      </c>
      <c r="L19" s="44">
        <v>1100</v>
      </c>
      <c r="M19" s="44">
        <f t="shared" si="3"/>
        <v>500</v>
      </c>
      <c r="N19" s="44">
        <v>1600</v>
      </c>
      <c r="O19" s="44">
        <f t="shared" si="4"/>
        <v>0</v>
      </c>
      <c r="P19" s="44">
        <v>1600</v>
      </c>
      <c r="Q19" s="44">
        <f t="shared" si="5"/>
        <v>450</v>
      </c>
      <c r="R19" s="44">
        <v>2050</v>
      </c>
      <c r="S19" s="44">
        <f t="shared" si="6"/>
        <v>92.9283771532185</v>
      </c>
      <c r="T19" s="44">
        <v>2266</v>
      </c>
      <c r="U19" s="44">
        <v>0</v>
      </c>
      <c r="V19" s="44">
        <v>0</v>
      </c>
      <c r="W19" s="44">
        <v>0</v>
      </c>
    </row>
    <row r="20" spans="1:23" s="10" customFormat="1" ht="15">
      <c r="A20" s="21"/>
      <c r="B20" s="20"/>
      <c r="C20" s="21" t="s">
        <v>34</v>
      </c>
      <c r="D20" s="44">
        <v>0</v>
      </c>
      <c r="E20" s="44">
        <v>9800</v>
      </c>
      <c r="F20" s="44">
        <v>0</v>
      </c>
      <c r="G20" s="44">
        <f t="shared" si="0"/>
        <v>0</v>
      </c>
      <c r="H20" s="44">
        <v>0</v>
      </c>
      <c r="I20" s="44">
        <f t="shared" si="1"/>
        <v>0</v>
      </c>
      <c r="J20" s="44">
        <v>0</v>
      </c>
      <c r="K20" s="44">
        <f t="shared" si="2"/>
        <v>0</v>
      </c>
      <c r="L20" s="44">
        <v>0</v>
      </c>
      <c r="M20" s="44">
        <f t="shared" si="3"/>
        <v>0</v>
      </c>
      <c r="N20" s="44">
        <v>0</v>
      </c>
      <c r="O20" s="44">
        <f t="shared" si="4"/>
        <v>0</v>
      </c>
      <c r="P20" s="44">
        <v>0</v>
      </c>
      <c r="Q20" s="44">
        <f t="shared" si="5"/>
        <v>0</v>
      </c>
      <c r="R20" s="44">
        <v>0</v>
      </c>
      <c r="S20" s="44">
        <f t="shared" si="6"/>
        <v>0</v>
      </c>
      <c r="T20" s="44">
        <v>9800</v>
      </c>
      <c r="U20" s="44">
        <v>0</v>
      </c>
      <c r="V20" s="44">
        <v>0</v>
      </c>
      <c r="W20" s="44">
        <v>0</v>
      </c>
    </row>
    <row r="21" spans="1:23" s="10" customFormat="1" ht="15">
      <c r="A21" s="21"/>
      <c r="B21" s="20">
        <v>3319</v>
      </c>
      <c r="C21" s="21" t="s">
        <v>35</v>
      </c>
      <c r="D21" s="44">
        <v>500</v>
      </c>
      <c r="E21" s="44">
        <v>1022</v>
      </c>
      <c r="F21" s="44">
        <v>165.2</v>
      </c>
      <c r="G21" s="44">
        <f t="shared" si="0"/>
        <v>53.20000000000002</v>
      </c>
      <c r="H21" s="44">
        <v>218.4</v>
      </c>
      <c r="I21" s="44">
        <f t="shared" si="1"/>
        <v>241.49999999999997</v>
      </c>
      <c r="J21" s="44">
        <v>459.9</v>
      </c>
      <c r="K21" s="44">
        <f t="shared" si="2"/>
        <v>66.20000000000005</v>
      </c>
      <c r="L21" s="44">
        <v>526.1</v>
      </c>
      <c r="M21" s="44">
        <f t="shared" si="3"/>
        <v>36.10000000000002</v>
      </c>
      <c r="N21" s="44">
        <v>562.2</v>
      </c>
      <c r="O21" s="44">
        <f t="shared" si="4"/>
        <v>90.29999999999995</v>
      </c>
      <c r="P21" s="44">
        <v>652.5</v>
      </c>
      <c r="Q21" s="44">
        <f t="shared" si="5"/>
        <v>31</v>
      </c>
      <c r="R21" s="44">
        <v>683.5</v>
      </c>
      <c r="S21" s="44">
        <f t="shared" si="6"/>
        <v>66.87866927592955</v>
      </c>
      <c r="T21" s="44">
        <v>1022</v>
      </c>
      <c r="U21" s="44">
        <v>800</v>
      </c>
      <c r="V21" s="44">
        <v>800</v>
      </c>
      <c r="W21" s="44">
        <v>800</v>
      </c>
    </row>
    <row r="22" spans="1:23" s="10" customFormat="1" ht="15">
      <c r="A22" s="21"/>
      <c r="B22" s="20">
        <v>3322</v>
      </c>
      <c r="C22" s="21" t="s">
        <v>36</v>
      </c>
      <c r="D22" s="44">
        <v>0</v>
      </c>
      <c r="E22" s="44">
        <v>65.9</v>
      </c>
      <c r="F22" s="44">
        <v>0</v>
      </c>
      <c r="G22" s="44">
        <f t="shared" si="0"/>
        <v>0</v>
      </c>
      <c r="H22" s="44">
        <v>0</v>
      </c>
      <c r="I22" s="44">
        <f t="shared" si="1"/>
        <v>45.7</v>
      </c>
      <c r="J22" s="44">
        <v>45.7</v>
      </c>
      <c r="K22" s="44">
        <f t="shared" si="2"/>
        <v>0</v>
      </c>
      <c r="L22" s="44">
        <v>45.7</v>
      </c>
      <c r="M22" s="44">
        <f t="shared" si="3"/>
        <v>0</v>
      </c>
      <c r="N22" s="44">
        <v>45.7</v>
      </c>
      <c r="O22" s="44">
        <f t="shared" si="4"/>
        <v>10.099999999999994</v>
      </c>
      <c r="P22" s="44">
        <v>55.8</v>
      </c>
      <c r="Q22" s="44">
        <f t="shared" si="5"/>
        <v>0</v>
      </c>
      <c r="R22" s="44">
        <v>55.8</v>
      </c>
      <c r="S22" s="44">
        <f t="shared" si="6"/>
        <v>84.67374810318663</v>
      </c>
      <c r="T22" s="44">
        <v>66</v>
      </c>
      <c r="U22" s="44">
        <v>67</v>
      </c>
      <c r="V22" s="44">
        <v>67</v>
      </c>
      <c r="W22" s="44">
        <v>67</v>
      </c>
    </row>
    <row r="23" spans="1:23" s="10" customFormat="1" ht="15">
      <c r="A23" s="21"/>
      <c r="B23" s="20">
        <v>3326</v>
      </c>
      <c r="C23" s="21" t="s">
        <v>37</v>
      </c>
      <c r="D23" s="44">
        <v>0</v>
      </c>
      <c r="E23" s="44">
        <v>0</v>
      </c>
      <c r="F23" s="44">
        <v>0</v>
      </c>
      <c r="G23" s="44">
        <f t="shared" si="0"/>
        <v>0</v>
      </c>
      <c r="H23" s="44">
        <v>0</v>
      </c>
      <c r="I23" s="44">
        <f t="shared" si="1"/>
        <v>0</v>
      </c>
      <c r="J23" s="44">
        <v>0</v>
      </c>
      <c r="K23" s="44">
        <f t="shared" si="2"/>
        <v>0</v>
      </c>
      <c r="L23" s="44">
        <v>0</v>
      </c>
      <c r="M23" s="44">
        <f t="shared" si="3"/>
        <v>0</v>
      </c>
      <c r="N23" s="44">
        <v>0</v>
      </c>
      <c r="O23" s="44">
        <f t="shared" si="4"/>
        <v>0</v>
      </c>
      <c r="P23" s="44">
        <v>0</v>
      </c>
      <c r="Q23" s="44">
        <f t="shared" si="5"/>
        <v>0</v>
      </c>
      <c r="R23" s="44">
        <v>0</v>
      </c>
      <c r="S23" s="44" t="e">
        <f t="shared" si="6"/>
        <v>#DIV/0!</v>
      </c>
      <c r="T23" s="44">
        <v>0</v>
      </c>
      <c r="U23" s="44">
        <v>100</v>
      </c>
      <c r="V23" s="44">
        <v>100</v>
      </c>
      <c r="W23" s="44">
        <v>100</v>
      </c>
    </row>
    <row r="24" spans="1:23" s="10" customFormat="1" ht="15">
      <c r="A24" s="21"/>
      <c r="B24" s="20">
        <v>3330</v>
      </c>
      <c r="C24" s="21" t="s">
        <v>38</v>
      </c>
      <c r="D24" s="44">
        <v>120</v>
      </c>
      <c r="E24" s="44">
        <v>5227</v>
      </c>
      <c r="F24" s="44">
        <v>10</v>
      </c>
      <c r="G24" s="44">
        <f t="shared" si="0"/>
        <v>0</v>
      </c>
      <c r="H24" s="44">
        <v>10</v>
      </c>
      <c r="I24" s="44">
        <f t="shared" si="1"/>
        <v>500</v>
      </c>
      <c r="J24" s="44">
        <v>510</v>
      </c>
      <c r="K24" s="44">
        <f t="shared" si="2"/>
        <v>0</v>
      </c>
      <c r="L24" s="44">
        <v>510</v>
      </c>
      <c r="M24" s="44">
        <f t="shared" si="3"/>
        <v>0</v>
      </c>
      <c r="N24" s="44">
        <v>510</v>
      </c>
      <c r="O24" s="44">
        <f t="shared" si="4"/>
        <v>3620</v>
      </c>
      <c r="P24" s="44">
        <v>4130</v>
      </c>
      <c r="Q24" s="44">
        <f t="shared" si="5"/>
        <v>1072</v>
      </c>
      <c r="R24" s="44">
        <v>5202</v>
      </c>
      <c r="S24" s="44">
        <f t="shared" si="6"/>
        <v>99.52171417639181</v>
      </c>
      <c r="T24" s="44">
        <v>5227</v>
      </c>
      <c r="U24" s="44">
        <v>40</v>
      </c>
      <c r="V24" s="44">
        <v>50</v>
      </c>
      <c r="W24" s="44">
        <v>50</v>
      </c>
    </row>
    <row r="25" spans="1:23" s="10" customFormat="1" ht="15">
      <c r="A25" s="21"/>
      <c r="B25" s="20">
        <v>3349</v>
      </c>
      <c r="C25" s="21" t="s">
        <v>39</v>
      </c>
      <c r="D25" s="44">
        <v>1338</v>
      </c>
      <c r="E25" s="44">
        <v>1375</v>
      </c>
      <c r="F25" s="44">
        <v>117</v>
      </c>
      <c r="G25" s="44">
        <f t="shared" si="0"/>
        <v>123.69999999999999</v>
      </c>
      <c r="H25" s="44">
        <v>240.7</v>
      </c>
      <c r="I25" s="44">
        <f t="shared" si="1"/>
        <v>132.90000000000003</v>
      </c>
      <c r="J25" s="44">
        <v>373.6</v>
      </c>
      <c r="K25" s="44">
        <f t="shared" si="2"/>
        <v>137.89999999999998</v>
      </c>
      <c r="L25" s="44">
        <v>511.5</v>
      </c>
      <c r="M25" s="44">
        <f t="shared" si="3"/>
        <v>131.39999999999998</v>
      </c>
      <c r="N25" s="44">
        <v>642.9</v>
      </c>
      <c r="O25" s="44">
        <f t="shared" si="4"/>
        <v>124.70000000000005</v>
      </c>
      <c r="P25" s="44">
        <v>767.6</v>
      </c>
      <c r="Q25" s="44">
        <f t="shared" si="5"/>
        <v>121.39999999999998</v>
      </c>
      <c r="R25" s="44">
        <v>889</v>
      </c>
      <c r="S25" s="44">
        <f t="shared" si="6"/>
        <v>64.65454545454546</v>
      </c>
      <c r="T25" s="44">
        <v>1375</v>
      </c>
      <c r="U25" s="44">
        <v>1391</v>
      </c>
      <c r="V25" s="44">
        <v>1391</v>
      </c>
      <c r="W25" s="44">
        <v>1391</v>
      </c>
    </row>
    <row r="26" spans="1:23" s="10" customFormat="1" ht="15">
      <c r="A26" s="21"/>
      <c r="B26" s="20">
        <v>3392</v>
      </c>
      <c r="C26" s="21" t="s">
        <v>40</v>
      </c>
      <c r="D26" s="44">
        <v>750</v>
      </c>
      <c r="E26" s="44">
        <v>1106</v>
      </c>
      <c r="F26" s="44">
        <v>187.5</v>
      </c>
      <c r="G26" s="44">
        <f t="shared" si="0"/>
        <v>0</v>
      </c>
      <c r="H26" s="44">
        <v>187.5</v>
      </c>
      <c r="I26" s="44">
        <f t="shared" si="1"/>
        <v>200.8</v>
      </c>
      <c r="J26" s="44">
        <v>388.3</v>
      </c>
      <c r="K26" s="44">
        <f t="shared" si="2"/>
        <v>362.7</v>
      </c>
      <c r="L26" s="44">
        <v>751</v>
      </c>
      <c r="M26" s="44">
        <f t="shared" si="3"/>
        <v>194.10000000000002</v>
      </c>
      <c r="N26" s="44">
        <v>945.1</v>
      </c>
      <c r="O26" s="44">
        <f t="shared" si="4"/>
        <v>-13.300000000000068</v>
      </c>
      <c r="P26" s="44">
        <v>931.8</v>
      </c>
      <c r="Q26" s="44">
        <f t="shared" si="5"/>
        <v>-13.299999999999955</v>
      </c>
      <c r="R26" s="44">
        <v>918.5</v>
      </c>
      <c r="S26" s="44">
        <f t="shared" si="6"/>
        <v>83.04701627486438</v>
      </c>
      <c r="T26" s="44">
        <v>1106</v>
      </c>
      <c r="U26" s="44">
        <v>750</v>
      </c>
      <c r="V26" s="44">
        <v>750</v>
      </c>
      <c r="W26" s="44">
        <v>750</v>
      </c>
    </row>
    <row r="27" spans="1:23" s="10" customFormat="1" ht="15">
      <c r="A27" s="21"/>
      <c r="B27" s="20">
        <v>3399</v>
      </c>
      <c r="C27" s="21" t="s">
        <v>41</v>
      </c>
      <c r="D27" s="44">
        <v>3180</v>
      </c>
      <c r="E27" s="44">
        <v>4140.2</v>
      </c>
      <c r="F27" s="44">
        <v>465.9</v>
      </c>
      <c r="G27" s="44">
        <f t="shared" si="0"/>
        <v>310</v>
      </c>
      <c r="H27" s="44">
        <v>775.9</v>
      </c>
      <c r="I27" s="44">
        <f t="shared" si="1"/>
        <v>387.4</v>
      </c>
      <c r="J27" s="44">
        <v>1163.3</v>
      </c>
      <c r="K27" s="44">
        <f t="shared" si="2"/>
        <v>335.29999999999995</v>
      </c>
      <c r="L27" s="44">
        <v>1498.6</v>
      </c>
      <c r="M27" s="44">
        <f t="shared" si="3"/>
        <v>195.30000000000018</v>
      </c>
      <c r="N27" s="44">
        <v>1693.9</v>
      </c>
      <c r="O27" s="44">
        <f t="shared" si="4"/>
        <v>784.5999999999999</v>
      </c>
      <c r="P27" s="44">
        <v>2478.5</v>
      </c>
      <c r="Q27" s="44">
        <f t="shared" si="5"/>
        <v>32.40000000000009</v>
      </c>
      <c r="R27" s="44">
        <v>2510.9</v>
      </c>
      <c r="S27" s="44">
        <f t="shared" si="6"/>
        <v>60.64682865562051</v>
      </c>
      <c r="T27" s="44">
        <v>4300</v>
      </c>
      <c r="U27" s="44">
        <f>2000-40</f>
        <v>1960</v>
      </c>
      <c r="V27" s="44">
        <v>2000</v>
      </c>
      <c r="W27" s="44">
        <v>2000</v>
      </c>
    </row>
    <row r="28" spans="1:23" s="10" customFormat="1" ht="15">
      <c r="A28" s="21"/>
      <c r="B28" s="20">
        <v>3412</v>
      </c>
      <c r="C28" s="21" t="s">
        <v>487</v>
      </c>
      <c r="D28" s="44">
        <v>14953</v>
      </c>
      <c r="E28" s="44">
        <f>15503+154</f>
        <v>15657</v>
      </c>
      <c r="F28" s="44">
        <v>1470</v>
      </c>
      <c r="G28" s="44">
        <f t="shared" si="0"/>
        <v>740</v>
      </c>
      <c r="H28" s="44">
        <v>2210</v>
      </c>
      <c r="I28" s="44">
        <f t="shared" si="1"/>
        <v>730</v>
      </c>
      <c r="J28" s="44">
        <v>2940</v>
      </c>
      <c r="K28" s="44">
        <f t="shared" si="2"/>
        <v>4175.3</v>
      </c>
      <c r="L28" s="44">
        <v>7115.3</v>
      </c>
      <c r="M28" s="44">
        <f t="shared" si="3"/>
        <v>200</v>
      </c>
      <c r="N28" s="44">
        <v>7315.3</v>
      </c>
      <c r="O28" s="44">
        <f t="shared" si="4"/>
        <v>4878.7</v>
      </c>
      <c r="P28" s="44">
        <f>12040+154</f>
        <v>12194</v>
      </c>
      <c r="Q28" s="44">
        <f t="shared" si="5"/>
        <v>730</v>
      </c>
      <c r="R28" s="44">
        <f>12770+154</f>
        <v>12924</v>
      </c>
      <c r="S28" s="44">
        <f t="shared" si="6"/>
        <v>82.54454876413106</v>
      </c>
      <c r="T28" s="44">
        <v>15657</v>
      </c>
      <c r="U28" s="44">
        <v>8000</v>
      </c>
      <c r="V28" s="44">
        <v>8000</v>
      </c>
      <c r="W28" s="44">
        <v>8000</v>
      </c>
    </row>
    <row r="29" spans="1:23" s="10" customFormat="1" ht="15">
      <c r="A29" s="21"/>
      <c r="B29" s="20">
        <v>3412</v>
      </c>
      <c r="C29" s="21" t="s">
        <v>42</v>
      </c>
      <c r="D29" s="44">
        <f>22453-14953</f>
        <v>7500</v>
      </c>
      <c r="E29" s="44">
        <f>23493-15657</f>
        <v>7836</v>
      </c>
      <c r="F29" s="44">
        <f>3238.3-1470</f>
        <v>1768.3000000000002</v>
      </c>
      <c r="G29" s="44">
        <f t="shared" si="0"/>
        <v>1611.5</v>
      </c>
      <c r="H29" s="44">
        <f>5589.8-2210</f>
        <v>3379.8</v>
      </c>
      <c r="I29" s="44">
        <f t="shared" si="1"/>
        <v>14.899999999999636</v>
      </c>
      <c r="J29" s="44">
        <f>6334.7-2940</f>
        <v>3394.7</v>
      </c>
      <c r="K29" s="44">
        <f t="shared" si="2"/>
        <v>15.299999999999272</v>
      </c>
      <c r="L29" s="44">
        <f>10525.3-7115.3</f>
        <v>3409.999999999999</v>
      </c>
      <c r="M29" s="44">
        <f t="shared" si="3"/>
        <v>1072.300000000001</v>
      </c>
      <c r="N29" s="44">
        <f>11797.6-7315.3</f>
        <v>4482.3</v>
      </c>
      <c r="O29" s="44">
        <f t="shared" si="4"/>
        <v>1001.7999999999984</v>
      </c>
      <c r="P29" s="44">
        <f>17678.1-12194</f>
        <v>5484.0999999999985</v>
      </c>
      <c r="Q29" s="44">
        <f t="shared" si="5"/>
        <v>783.1000000000022</v>
      </c>
      <c r="R29" s="44">
        <f>19191.2-12770-154</f>
        <v>6267.200000000001</v>
      </c>
      <c r="S29" s="44">
        <f t="shared" si="6"/>
        <v>79.97958141909139</v>
      </c>
      <c r="T29" s="44">
        <v>7856</v>
      </c>
      <c r="U29" s="44">
        <v>7120</v>
      </c>
      <c r="V29" s="44">
        <v>7760</v>
      </c>
      <c r="W29" s="44">
        <v>7760</v>
      </c>
    </row>
    <row r="30" spans="1:23" s="10" customFormat="1" ht="15">
      <c r="A30" s="21"/>
      <c r="B30" s="20">
        <v>3419</v>
      </c>
      <c r="C30" s="21" t="s">
        <v>486</v>
      </c>
      <c r="D30" s="144">
        <v>10960</v>
      </c>
      <c r="E30" s="144">
        <v>11664</v>
      </c>
      <c r="F30" s="144">
        <v>3910</v>
      </c>
      <c r="G30" s="44">
        <f t="shared" si="0"/>
        <v>250</v>
      </c>
      <c r="H30" s="144">
        <v>4160</v>
      </c>
      <c r="I30" s="44">
        <f t="shared" si="1"/>
        <v>1090</v>
      </c>
      <c r="J30" s="144">
        <v>5250</v>
      </c>
      <c r="K30" s="44">
        <f t="shared" si="2"/>
        <v>420</v>
      </c>
      <c r="L30" s="144">
        <v>5670</v>
      </c>
      <c r="M30" s="44">
        <f t="shared" si="3"/>
        <v>1334</v>
      </c>
      <c r="N30" s="144">
        <v>7004</v>
      </c>
      <c r="O30" s="44">
        <f t="shared" si="4"/>
        <v>585</v>
      </c>
      <c r="P30" s="144">
        <v>7589</v>
      </c>
      <c r="Q30" s="44">
        <f t="shared" si="5"/>
        <v>1710</v>
      </c>
      <c r="R30" s="144">
        <v>9299</v>
      </c>
      <c r="S30" s="44">
        <f t="shared" si="6"/>
        <v>79.72393689986282</v>
      </c>
      <c r="T30" s="144">
        <v>11664</v>
      </c>
      <c r="U30" s="144">
        <v>7530</v>
      </c>
      <c r="V30" s="144">
        <v>5500</v>
      </c>
      <c r="W30" s="144">
        <v>5500</v>
      </c>
    </row>
    <row r="31" spans="1:23" s="10" customFormat="1" ht="15">
      <c r="A31" s="21"/>
      <c r="B31" s="20">
        <v>3421</v>
      </c>
      <c r="C31" s="21" t="s">
        <v>480</v>
      </c>
      <c r="D31" s="144">
        <v>920</v>
      </c>
      <c r="E31" s="144">
        <v>3485</v>
      </c>
      <c r="F31" s="144">
        <v>400</v>
      </c>
      <c r="G31" s="44">
        <f t="shared" si="0"/>
        <v>0</v>
      </c>
      <c r="H31" s="144">
        <v>400</v>
      </c>
      <c r="I31" s="44">
        <f t="shared" si="1"/>
        <v>500</v>
      </c>
      <c r="J31" s="144">
        <v>900</v>
      </c>
      <c r="K31" s="44">
        <f t="shared" si="2"/>
        <v>528.4000000000001</v>
      </c>
      <c r="L31" s="144">
        <v>1428.4</v>
      </c>
      <c r="M31" s="44">
        <f t="shared" si="3"/>
        <v>1170.1</v>
      </c>
      <c r="N31" s="144">
        <v>2598.5</v>
      </c>
      <c r="O31" s="44">
        <f t="shared" si="4"/>
        <v>490</v>
      </c>
      <c r="P31" s="144">
        <v>3088.5</v>
      </c>
      <c r="Q31" s="44">
        <f t="shared" si="5"/>
        <v>136</v>
      </c>
      <c r="R31" s="144">
        <v>3224.5</v>
      </c>
      <c r="S31" s="44">
        <f t="shared" si="6"/>
        <v>92.52510760401722</v>
      </c>
      <c r="T31" s="144">
        <v>3485</v>
      </c>
      <c r="U31" s="144">
        <v>1420</v>
      </c>
      <c r="V31" s="144">
        <v>2000</v>
      </c>
      <c r="W31" s="144">
        <v>2000</v>
      </c>
    </row>
    <row r="32" spans="1:23" s="10" customFormat="1" ht="15">
      <c r="A32" s="21"/>
      <c r="B32" s="20">
        <v>3429</v>
      </c>
      <c r="C32" s="21" t="s">
        <v>43</v>
      </c>
      <c r="D32" s="144">
        <v>0</v>
      </c>
      <c r="E32" s="144">
        <v>1612.4</v>
      </c>
      <c r="F32" s="144">
        <v>0</v>
      </c>
      <c r="G32" s="44">
        <f t="shared" si="0"/>
        <v>13.5</v>
      </c>
      <c r="H32" s="144">
        <v>13.5</v>
      </c>
      <c r="I32" s="44">
        <f t="shared" si="1"/>
        <v>140</v>
      </c>
      <c r="J32" s="144">
        <v>153.5</v>
      </c>
      <c r="K32" s="44">
        <f t="shared" si="2"/>
        <v>957</v>
      </c>
      <c r="L32" s="144">
        <v>1110.5</v>
      </c>
      <c r="M32" s="44">
        <f t="shared" si="3"/>
        <v>269</v>
      </c>
      <c r="N32" s="144">
        <v>1379.5</v>
      </c>
      <c r="O32" s="44">
        <f t="shared" si="4"/>
        <v>95</v>
      </c>
      <c r="P32" s="144">
        <v>1474.5</v>
      </c>
      <c r="Q32" s="44">
        <f t="shared" si="5"/>
        <v>0</v>
      </c>
      <c r="R32" s="144">
        <v>1474.5</v>
      </c>
      <c r="S32" s="44">
        <f t="shared" si="6"/>
        <v>91.44753162986852</v>
      </c>
      <c r="T32" s="144">
        <v>1612</v>
      </c>
      <c r="U32" s="144">
        <v>0</v>
      </c>
      <c r="V32" s="144">
        <v>1000</v>
      </c>
      <c r="W32" s="144">
        <v>1000</v>
      </c>
    </row>
    <row r="33" spans="1:23" s="10" customFormat="1" ht="15.75" thickBot="1">
      <c r="A33" s="22"/>
      <c r="B33" s="20">
        <v>6223</v>
      </c>
      <c r="C33" s="21" t="s">
        <v>44</v>
      </c>
      <c r="D33" s="44">
        <v>600</v>
      </c>
      <c r="E33" s="44">
        <v>472.2</v>
      </c>
      <c r="F33" s="44">
        <v>0</v>
      </c>
      <c r="G33" s="44">
        <f t="shared" si="0"/>
        <v>0</v>
      </c>
      <c r="H33" s="44">
        <v>0</v>
      </c>
      <c r="I33" s="44">
        <f t="shared" si="1"/>
        <v>0</v>
      </c>
      <c r="J33" s="44">
        <v>0</v>
      </c>
      <c r="K33" s="44">
        <f t="shared" si="2"/>
        <v>0</v>
      </c>
      <c r="L33" s="44">
        <v>0</v>
      </c>
      <c r="M33" s="44">
        <f t="shared" si="3"/>
        <v>0</v>
      </c>
      <c r="N33" s="44">
        <v>0</v>
      </c>
      <c r="O33" s="44">
        <f t="shared" si="4"/>
        <v>40.9</v>
      </c>
      <c r="P33" s="44">
        <v>40.9</v>
      </c>
      <c r="Q33" s="44">
        <f t="shared" si="5"/>
        <v>11.399999999999999</v>
      </c>
      <c r="R33" s="44">
        <v>52.3</v>
      </c>
      <c r="S33" s="44">
        <f t="shared" si="6"/>
        <v>11.075815332486235</v>
      </c>
      <c r="T33" s="44">
        <v>472</v>
      </c>
      <c r="U33" s="44">
        <v>200</v>
      </c>
      <c r="V33" s="44">
        <v>200</v>
      </c>
      <c r="W33" s="44">
        <v>200</v>
      </c>
    </row>
    <row r="34" spans="1:23" s="10" customFormat="1" ht="14.25" customHeight="1" hidden="1" thickBot="1">
      <c r="A34" s="23"/>
      <c r="B34" s="24">
        <v>6409</v>
      </c>
      <c r="C34" s="25" t="s">
        <v>45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0</v>
      </c>
      <c r="U34" s="145">
        <v>0</v>
      </c>
      <c r="V34" s="145">
        <v>0</v>
      </c>
      <c r="W34" s="145">
        <v>0</v>
      </c>
    </row>
    <row r="35" spans="1:23" s="10" customFormat="1" ht="18.75" customHeight="1" thickBot="1" thickTop="1">
      <c r="A35" s="26"/>
      <c r="B35" s="27"/>
      <c r="C35" s="28" t="s">
        <v>46</v>
      </c>
      <c r="D35" s="138">
        <f aca="true" t="shared" si="7" ref="D35:P35">SUM(D9:D34)</f>
        <v>108692</v>
      </c>
      <c r="E35" s="138">
        <f t="shared" si="7"/>
        <v>142085</v>
      </c>
      <c r="F35" s="138">
        <f t="shared" si="7"/>
        <v>23557.8</v>
      </c>
      <c r="G35" s="138">
        <f t="shared" si="7"/>
        <v>9736.599999999999</v>
      </c>
      <c r="H35" s="138">
        <f t="shared" si="7"/>
        <v>33294.4</v>
      </c>
      <c r="I35" s="138">
        <f t="shared" si="7"/>
        <v>11193.599999999999</v>
      </c>
      <c r="J35" s="138">
        <f t="shared" si="7"/>
        <v>44488</v>
      </c>
      <c r="K35" s="138">
        <f t="shared" si="7"/>
        <v>14311.799999999997</v>
      </c>
      <c r="L35" s="138">
        <f t="shared" si="7"/>
        <v>58799.799999999996</v>
      </c>
      <c r="M35" s="138">
        <f t="shared" si="7"/>
        <v>9365.7</v>
      </c>
      <c r="N35" s="138">
        <f t="shared" si="7"/>
        <v>68165.5</v>
      </c>
      <c r="O35" s="138">
        <f t="shared" si="7"/>
        <v>17738.100000000006</v>
      </c>
      <c r="P35" s="138">
        <f t="shared" si="7"/>
        <v>85903.6</v>
      </c>
      <c r="Q35" s="138">
        <f>SUM(Q9:Q34)</f>
        <v>11477.2</v>
      </c>
      <c r="R35" s="138">
        <f>SUM(R9:R34)</f>
        <v>97380.80000000002</v>
      </c>
      <c r="S35" s="138">
        <f>(R35/E35)*100</f>
        <v>68.53700249850444</v>
      </c>
      <c r="T35" s="138">
        <f>SUM(T9:T34)</f>
        <v>142474</v>
      </c>
      <c r="U35" s="138">
        <f>SUM(U9:U34)</f>
        <v>87511</v>
      </c>
      <c r="V35" s="138">
        <f>SUM(V9:V34)</f>
        <v>88978</v>
      </c>
      <c r="W35" s="138">
        <f>SUM(W9:W34)</f>
        <v>88978</v>
      </c>
    </row>
    <row r="36" spans="1:23" s="10" customFormat="1" ht="15.75" customHeight="1">
      <c r="A36" s="29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10" customFormat="1" ht="18.75" customHeight="1" hidden="1">
      <c r="A37" s="29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10" customFormat="1" ht="18.75" customHeight="1" hidden="1">
      <c r="A38" s="29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10" customFormat="1" ht="15.75" customHeight="1" hidden="1">
      <c r="A39" s="29"/>
      <c r="B39" s="30"/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10" customFormat="1" ht="15.75" customHeight="1" hidden="1">
      <c r="A40" s="29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0" customFormat="1" ht="12.75" customHeight="1" hidden="1">
      <c r="A41" s="29"/>
      <c r="B41" s="30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10" customFormat="1" ht="12.75" customHeight="1" hidden="1">
      <c r="A42" s="29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2:23" s="10" customFormat="1" ht="15.75" customHeight="1" thickBot="1">
      <c r="B43" s="33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</row>
    <row r="44" spans="1:23" s="10" customFormat="1" ht="18">
      <c r="A44" s="148" t="s">
        <v>2</v>
      </c>
      <c r="B44" s="150" t="s">
        <v>3</v>
      </c>
      <c r="C44" s="211" t="s">
        <v>485</v>
      </c>
      <c r="D44" s="162" t="s">
        <v>489</v>
      </c>
      <c r="E44" s="162" t="s">
        <v>490</v>
      </c>
      <c r="F44" s="186" t="s">
        <v>6</v>
      </c>
      <c r="G44" s="186" t="s">
        <v>6</v>
      </c>
      <c r="H44" s="186" t="s">
        <v>6</v>
      </c>
      <c r="I44" s="186" t="s">
        <v>6</v>
      </c>
      <c r="J44" s="186" t="s">
        <v>6</v>
      </c>
      <c r="K44" s="186" t="s">
        <v>6</v>
      </c>
      <c r="L44" s="186" t="s">
        <v>6</v>
      </c>
      <c r="M44" s="186" t="s">
        <v>6</v>
      </c>
      <c r="N44" s="186" t="s">
        <v>6</v>
      </c>
      <c r="O44" s="186" t="s">
        <v>6</v>
      </c>
      <c r="P44" s="186" t="s">
        <v>6</v>
      </c>
      <c r="Q44" s="186" t="s">
        <v>6</v>
      </c>
      <c r="R44" s="186" t="s">
        <v>6</v>
      </c>
      <c r="S44" s="186" t="s">
        <v>7</v>
      </c>
      <c r="T44" s="186" t="s">
        <v>458</v>
      </c>
      <c r="U44" s="186" t="s">
        <v>5</v>
      </c>
      <c r="V44" s="186" t="s">
        <v>5</v>
      </c>
      <c r="W44" s="186" t="s">
        <v>5</v>
      </c>
    </row>
    <row r="45" spans="1:23" s="10" customFormat="1" ht="15.75" customHeight="1" thickBot="1">
      <c r="A45" s="151"/>
      <c r="B45" s="152"/>
      <c r="C45" s="153"/>
      <c r="D45" s="166">
        <v>2010</v>
      </c>
      <c r="E45" s="166">
        <v>2010</v>
      </c>
      <c r="F45" s="187" t="s">
        <v>10</v>
      </c>
      <c r="G45" s="187" t="s">
        <v>11</v>
      </c>
      <c r="H45" s="187" t="s">
        <v>12</v>
      </c>
      <c r="I45" s="187" t="s">
        <v>13</v>
      </c>
      <c r="J45" s="187" t="s">
        <v>14</v>
      </c>
      <c r="K45" s="187" t="s">
        <v>15</v>
      </c>
      <c r="L45" s="187" t="s">
        <v>16</v>
      </c>
      <c r="M45" s="187" t="s">
        <v>17</v>
      </c>
      <c r="N45" s="187" t="s">
        <v>18</v>
      </c>
      <c r="O45" s="187" t="s">
        <v>19</v>
      </c>
      <c r="P45" s="187" t="s">
        <v>20</v>
      </c>
      <c r="Q45" s="187" t="s">
        <v>21</v>
      </c>
      <c r="R45" s="187" t="s">
        <v>22</v>
      </c>
      <c r="S45" s="187" t="s">
        <v>23</v>
      </c>
      <c r="T45" s="187" t="s">
        <v>460</v>
      </c>
      <c r="U45" s="187" t="s">
        <v>461</v>
      </c>
      <c r="V45" s="187" t="s">
        <v>462</v>
      </c>
      <c r="W45" s="187" t="s">
        <v>459</v>
      </c>
    </row>
    <row r="46" spans="1:23" s="10" customFormat="1" ht="16.5" customHeight="1" thickTop="1">
      <c r="A46" s="13">
        <v>20</v>
      </c>
      <c r="B46" s="14"/>
      <c r="C46" s="15" t="s">
        <v>47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</row>
    <row r="47" spans="1:23" s="10" customFormat="1" ht="15" customHeight="1">
      <c r="A47" s="17"/>
      <c r="B47" s="18"/>
      <c r="C47" s="3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10" customFormat="1" ht="15">
      <c r="A48" s="21"/>
      <c r="B48" s="20">
        <v>2143</v>
      </c>
      <c r="C48" s="35" t="s">
        <v>48</v>
      </c>
      <c r="D48" s="134">
        <v>0</v>
      </c>
      <c r="E48" s="134">
        <v>82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59.8</v>
      </c>
      <c r="O48" s="134">
        <v>0</v>
      </c>
      <c r="P48" s="134">
        <v>59.8</v>
      </c>
      <c r="Q48" s="134">
        <v>0</v>
      </c>
      <c r="R48" s="134">
        <v>59.8</v>
      </c>
      <c r="S48" s="44">
        <f aca="true" t="shared" si="8" ref="S48:S62">(R48/E48)*100</f>
        <v>72.92682926829268</v>
      </c>
      <c r="T48" s="134">
        <v>59.8</v>
      </c>
      <c r="U48" s="134">
        <v>0</v>
      </c>
      <c r="V48" s="134">
        <v>0</v>
      </c>
      <c r="W48" s="134">
        <v>0</v>
      </c>
    </row>
    <row r="49" spans="1:23" s="10" customFormat="1" ht="15" customHeight="1" hidden="1">
      <c r="A49" s="21"/>
      <c r="B49" s="20">
        <v>2229</v>
      </c>
      <c r="C49" s="35" t="s">
        <v>49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44" t="e">
        <f t="shared" si="8"/>
        <v>#DIV/0!</v>
      </c>
      <c r="T49" s="134"/>
      <c r="U49" s="134"/>
      <c r="V49" s="134"/>
      <c r="W49" s="134"/>
    </row>
    <row r="50" spans="1:23" s="10" customFormat="1" ht="15">
      <c r="A50" s="21"/>
      <c r="B50" s="20">
        <v>2212</v>
      </c>
      <c r="C50" s="35" t="s">
        <v>50</v>
      </c>
      <c r="D50" s="134">
        <v>1200</v>
      </c>
      <c r="E50" s="134">
        <v>66</v>
      </c>
      <c r="F50" s="134">
        <v>0</v>
      </c>
      <c r="G50" s="44">
        <f aca="true" t="shared" si="9" ref="G50:G59">H50-F50</f>
        <v>0</v>
      </c>
      <c r="H50" s="134">
        <v>0</v>
      </c>
      <c r="I50" s="44">
        <f aca="true" t="shared" si="10" ref="I50:I59">J50-H50</f>
        <v>0</v>
      </c>
      <c r="J50" s="134">
        <v>0</v>
      </c>
      <c r="K50" s="44">
        <f aca="true" t="shared" si="11" ref="K50:K59">L50-J50</f>
        <v>0</v>
      </c>
      <c r="L50" s="134">
        <v>0</v>
      </c>
      <c r="M50" s="44">
        <f aca="true" t="shared" si="12" ref="M50:M59">N50-L50</f>
        <v>0</v>
      </c>
      <c r="N50" s="134">
        <v>0</v>
      </c>
      <c r="O50" s="44">
        <f aca="true" t="shared" si="13" ref="O50:O59">P50-N50</f>
        <v>0</v>
      </c>
      <c r="P50" s="134">
        <v>0</v>
      </c>
      <c r="Q50" s="44">
        <f aca="true" t="shared" si="14" ref="Q50:Q59">R50-P50</f>
        <v>0</v>
      </c>
      <c r="R50" s="134">
        <v>0</v>
      </c>
      <c r="S50" s="44">
        <f t="shared" si="8"/>
        <v>0</v>
      </c>
      <c r="T50" s="134">
        <v>66</v>
      </c>
      <c r="U50" s="134">
        <v>1200</v>
      </c>
      <c r="V50" s="134">
        <v>1200</v>
      </c>
      <c r="W50" s="134">
        <v>1200</v>
      </c>
    </row>
    <row r="51" spans="1:23" s="10" customFormat="1" ht="15" customHeight="1" hidden="1">
      <c r="A51" s="21"/>
      <c r="B51" s="20">
        <v>2310</v>
      </c>
      <c r="C51" s="35" t="s">
        <v>51</v>
      </c>
      <c r="D51" s="134">
        <v>0</v>
      </c>
      <c r="E51" s="134">
        <v>0</v>
      </c>
      <c r="F51" s="134"/>
      <c r="G51" s="44">
        <f t="shared" si="9"/>
        <v>0</v>
      </c>
      <c r="H51" s="134"/>
      <c r="I51" s="44">
        <f t="shared" si="10"/>
        <v>0</v>
      </c>
      <c r="J51" s="134"/>
      <c r="K51" s="44">
        <f t="shared" si="11"/>
        <v>0</v>
      </c>
      <c r="L51" s="134"/>
      <c r="M51" s="44">
        <f t="shared" si="12"/>
        <v>0</v>
      </c>
      <c r="N51" s="134"/>
      <c r="O51" s="44">
        <f t="shared" si="13"/>
        <v>0</v>
      </c>
      <c r="P51" s="134"/>
      <c r="Q51" s="44">
        <f t="shared" si="14"/>
        <v>0</v>
      </c>
      <c r="R51" s="134"/>
      <c r="S51" s="44" t="e">
        <f t="shared" si="8"/>
        <v>#DIV/0!</v>
      </c>
      <c r="T51" s="134"/>
      <c r="U51" s="134"/>
      <c r="V51" s="134"/>
      <c r="W51" s="134"/>
    </row>
    <row r="52" spans="1:23" s="10" customFormat="1" ht="15">
      <c r="A52" s="21"/>
      <c r="B52" s="20">
        <v>2321</v>
      </c>
      <c r="C52" s="35" t="s">
        <v>52</v>
      </c>
      <c r="D52" s="134">
        <v>500</v>
      </c>
      <c r="E52" s="134">
        <v>258</v>
      </c>
      <c r="F52" s="134">
        <v>57.2</v>
      </c>
      <c r="G52" s="44">
        <f t="shared" si="9"/>
        <v>0</v>
      </c>
      <c r="H52" s="134">
        <v>57.2</v>
      </c>
      <c r="I52" s="44">
        <f t="shared" si="10"/>
        <v>0</v>
      </c>
      <c r="J52" s="134">
        <v>57.2</v>
      </c>
      <c r="K52" s="44">
        <f t="shared" si="11"/>
        <v>0</v>
      </c>
      <c r="L52" s="134">
        <v>57.2</v>
      </c>
      <c r="M52" s="44">
        <f t="shared" si="12"/>
        <v>0</v>
      </c>
      <c r="N52" s="134">
        <v>57.2</v>
      </c>
      <c r="O52" s="44">
        <f t="shared" si="13"/>
        <v>0</v>
      </c>
      <c r="P52" s="134">
        <v>57.2</v>
      </c>
      <c r="Q52" s="44">
        <f t="shared" si="14"/>
        <v>0</v>
      </c>
      <c r="R52" s="134">
        <v>57.2</v>
      </c>
      <c r="S52" s="44">
        <f t="shared" si="8"/>
        <v>22.170542635658915</v>
      </c>
      <c r="T52" s="134">
        <v>408</v>
      </c>
      <c r="U52" s="134">
        <v>100</v>
      </c>
      <c r="V52" s="134">
        <v>500</v>
      </c>
      <c r="W52" s="134">
        <v>500</v>
      </c>
    </row>
    <row r="53" spans="1:23" s="10" customFormat="1" ht="15">
      <c r="A53" s="21"/>
      <c r="B53" s="20">
        <v>3322</v>
      </c>
      <c r="C53" s="36" t="s">
        <v>53</v>
      </c>
      <c r="D53" s="134">
        <v>300</v>
      </c>
      <c r="E53" s="134">
        <v>63</v>
      </c>
      <c r="F53" s="134">
        <v>0</v>
      </c>
      <c r="G53" s="44">
        <f t="shared" si="9"/>
        <v>0</v>
      </c>
      <c r="H53" s="134">
        <v>0</v>
      </c>
      <c r="I53" s="44">
        <f t="shared" si="10"/>
        <v>0</v>
      </c>
      <c r="J53" s="134">
        <v>0</v>
      </c>
      <c r="K53" s="44">
        <f t="shared" si="11"/>
        <v>0</v>
      </c>
      <c r="L53" s="134">
        <v>0</v>
      </c>
      <c r="M53" s="44">
        <f t="shared" si="12"/>
        <v>0</v>
      </c>
      <c r="N53" s="134">
        <v>0</v>
      </c>
      <c r="O53" s="44">
        <f t="shared" si="13"/>
        <v>0</v>
      </c>
      <c r="P53" s="134">
        <v>0</v>
      </c>
      <c r="Q53" s="44">
        <f t="shared" si="14"/>
        <v>30</v>
      </c>
      <c r="R53" s="134">
        <v>30</v>
      </c>
      <c r="S53" s="44">
        <f t="shared" si="8"/>
        <v>47.61904761904761</v>
      </c>
      <c r="T53" s="134">
        <v>62</v>
      </c>
      <c r="U53" s="134">
        <v>0</v>
      </c>
      <c r="V53" s="134">
        <v>300</v>
      </c>
      <c r="W53" s="134">
        <v>300</v>
      </c>
    </row>
    <row r="54" spans="1:23" s="10" customFormat="1" ht="15">
      <c r="A54" s="21"/>
      <c r="B54" s="20">
        <v>3635</v>
      </c>
      <c r="C54" s="36" t="s">
        <v>54</v>
      </c>
      <c r="D54" s="134">
        <v>500</v>
      </c>
      <c r="E54" s="134">
        <v>560</v>
      </c>
      <c r="F54" s="134">
        <v>73.8</v>
      </c>
      <c r="G54" s="44">
        <f t="shared" si="9"/>
        <v>60.000000000000014</v>
      </c>
      <c r="H54" s="134">
        <v>133.8</v>
      </c>
      <c r="I54" s="44">
        <f t="shared" si="10"/>
        <v>179.89999999999998</v>
      </c>
      <c r="J54" s="134">
        <v>313.7</v>
      </c>
      <c r="K54" s="44">
        <f t="shared" si="11"/>
        <v>58.80000000000001</v>
      </c>
      <c r="L54" s="134">
        <v>372.5</v>
      </c>
      <c r="M54" s="44">
        <f t="shared" si="12"/>
        <v>30</v>
      </c>
      <c r="N54" s="134">
        <v>402.5</v>
      </c>
      <c r="O54" s="44">
        <f t="shared" si="13"/>
        <v>0</v>
      </c>
      <c r="P54" s="134">
        <v>402.5</v>
      </c>
      <c r="Q54" s="44">
        <f t="shared" si="14"/>
        <v>-207</v>
      </c>
      <c r="R54" s="134">
        <v>195.5</v>
      </c>
      <c r="S54" s="44">
        <f t="shared" si="8"/>
        <v>34.910714285714285</v>
      </c>
      <c r="T54" s="134">
        <v>750</v>
      </c>
      <c r="U54" s="134">
        <v>1000</v>
      </c>
      <c r="V54" s="134">
        <v>1000</v>
      </c>
      <c r="W54" s="134">
        <v>1000</v>
      </c>
    </row>
    <row r="55" spans="1:23" s="10" customFormat="1" ht="15">
      <c r="A55" s="21"/>
      <c r="B55" s="20">
        <v>3636</v>
      </c>
      <c r="C55" s="36" t="s">
        <v>55</v>
      </c>
      <c r="D55" s="134">
        <v>600</v>
      </c>
      <c r="E55" s="134">
        <v>600</v>
      </c>
      <c r="F55" s="134">
        <v>96</v>
      </c>
      <c r="G55" s="44">
        <f t="shared" si="9"/>
        <v>48</v>
      </c>
      <c r="H55" s="134">
        <v>144</v>
      </c>
      <c r="I55" s="44">
        <f t="shared" si="10"/>
        <v>48</v>
      </c>
      <c r="J55" s="134">
        <v>192</v>
      </c>
      <c r="K55" s="44">
        <f t="shared" si="11"/>
        <v>48</v>
      </c>
      <c r="L55" s="134">
        <v>240</v>
      </c>
      <c r="M55" s="44">
        <f t="shared" si="12"/>
        <v>48</v>
      </c>
      <c r="N55" s="134">
        <v>288</v>
      </c>
      <c r="O55" s="44">
        <f t="shared" si="13"/>
        <v>48</v>
      </c>
      <c r="P55" s="134">
        <v>336</v>
      </c>
      <c r="Q55" s="44">
        <f t="shared" si="14"/>
        <v>48</v>
      </c>
      <c r="R55" s="134">
        <v>384</v>
      </c>
      <c r="S55" s="44">
        <f t="shared" si="8"/>
        <v>64</v>
      </c>
      <c r="T55" s="134">
        <v>576</v>
      </c>
      <c r="U55" s="134">
        <v>0</v>
      </c>
      <c r="V55" s="134">
        <v>0</v>
      </c>
      <c r="W55" s="134">
        <v>0</v>
      </c>
    </row>
    <row r="56" spans="1:23" s="37" customFormat="1" ht="15.75">
      <c r="A56" s="21">
        <v>434902</v>
      </c>
      <c r="B56" s="20">
        <v>4349</v>
      </c>
      <c r="C56" s="35" t="s">
        <v>56</v>
      </c>
      <c r="D56" s="146">
        <v>300</v>
      </c>
      <c r="E56" s="146">
        <v>70</v>
      </c>
      <c r="F56" s="146">
        <v>0</v>
      </c>
      <c r="G56" s="44">
        <f t="shared" si="9"/>
        <v>0</v>
      </c>
      <c r="H56" s="146">
        <v>0</v>
      </c>
      <c r="I56" s="44">
        <f t="shared" si="10"/>
        <v>0</v>
      </c>
      <c r="J56" s="146">
        <v>0</v>
      </c>
      <c r="K56" s="44">
        <f t="shared" si="11"/>
        <v>0</v>
      </c>
      <c r="L56" s="146">
        <v>0</v>
      </c>
      <c r="M56" s="44">
        <f t="shared" si="12"/>
        <v>0</v>
      </c>
      <c r="N56" s="146">
        <v>0</v>
      </c>
      <c r="O56" s="44">
        <f t="shared" si="13"/>
        <v>0</v>
      </c>
      <c r="P56" s="146">
        <v>0</v>
      </c>
      <c r="Q56" s="44">
        <f t="shared" si="14"/>
        <v>0</v>
      </c>
      <c r="R56" s="146">
        <v>0</v>
      </c>
      <c r="S56" s="44">
        <f t="shared" si="8"/>
        <v>0</v>
      </c>
      <c r="T56" s="146">
        <v>0</v>
      </c>
      <c r="U56" s="146">
        <v>0</v>
      </c>
      <c r="V56" s="146">
        <v>100</v>
      </c>
      <c r="W56" s="146">
        <v>100</v>
      </c>
    </row>
    <row r="57" spans="1:23" s="37" customFormat="1" ht="15.75" customHeight="1" hidden="1">
      <c r="A57" s="21">
        <v>434902</v>
      </c>
      <c r="B57" s="20">
        <v>4349</v>
      </c>
      <c r="C57" s="35" t="s">
        <v>57</v>
      </c>
      <c r="D57" s="146">
        <v>0</v>
      </c>
      <c r="E57" s="146">
        <v>0</v>
      </c>
      <c r="F57" s="146"/>
      <c r="G57" s="44">
        <f t="shared" si="9"/>
        <v>0</v>
      </c>
      <c r="H57" s="146"/>
      <c r="I57" s="44">
        <f t="shared" si="10"/>
        <v>0</v>
      </c>
      <c r="J57" s="146"/>
      <c r="K57" s="44">
        <f t="shared" si="11"/>
        <v>0</v>
      </c>
      <c r="L57" s="146"/>
      <c r="M57" s="44">
        <f t="shared" si="12"/>
        <v>0</v>
      </c>
      <c r="N57" s="146"/>
      <c r="O57" s="44">
        <f t="shared" si="13"/>
        <v>0</v>
      </c>
      <c r="P57" s="146"/>
      <c r="Q57" s="44">
        <f t="shared" si="14"/>
        <v>0</v>
      </c>
      <c r="R57" s="146"/>
      <c r="S57" s="44" t="e">
        <f t="shared" si="8"/>
        <v>#DIV/0!</v>
      </c>
      <c r="T57" s="146"/>
      <c r="U57" s="146"/>
      <c r="V57" s="146"/>
      <c r="W57" s="146"/>
    </row>
    <row r="58" spans="1:23" s="10" customFormat="1" ht="15">
      <c r="A58" s="38"/>
      <c r="B58" s="20">
        <v>6223</v>
      </c>
      <c r="C58" s="36" t="s">
        <v>58</v>
      </c>
      <c r="D58" s="146">
        <v>1000</v>
      </c>
      <c r="E58" s="146">
        <v>261</v>
      </c>
      <c r="F58" s="146">
        <v>0</v>
      </c>
      <c r="G58" s="44">
        <f t="shared" si="9"/>
        <v>0</v>
      </c>
      <c r="H58" s="146">
        <v>0</v>
      </c>
      <c r="I58" s="44">
        <f t="shared" si="10"/>
        <v>0</v>
      </c>
      <c r="J58" s="146">
        <v>0</v>
      </c>
      <c r="K58" s="44">
        <f t="shared" si="11"/>
        <v>0</v>
      </c>
      <c r="L58" s="146">
        <v>0</v>
      </c>
      <c r="M58" s="44">
        <f t="shared" si="12"/>
        <v>200</v>
      </c>
      <c r="N58" s="146">
        <v>200</v>
      </c>
      <c r="O58" s="44">
        <f t="shared" si="13"/>
        <v>0</v>
      </c>
      <c r="P58" s="146">
        <v>200</v>
      </c>
      <c r="Q58" s="44">
        <f t="shared" si="14"/>
        <v>12.599999999999994</v>
      </c>
      <c r="R58" s="146">
        <v>212.6</v>
      </c>
      <c r="S58" s="44">
        <f t="shared" si="8"/>
        <v>81.455938697318</v>
      </c>
      <c r="T58" s="146">
        <v>212.6</v>
      </c>
      <c r="U58" s="146">
        <v>20</v>
      </c>
      <c r="V58" s="146">
        <v>100</v>
      </c>
      <c r="W58" s="146">
        <v>100</v>
      </c>
    </row>
    <row r="59" spans="1:23" s="10" customFormat="1" ht="15">
      <c r="A59" s="38"/>
      <c r="B59" s="20">
        <v>6409</v>
      </c>
      <c r="C59" s="36" t="s">
        <v>59</v>
      </c>
      <c r="D59" s="146">
        <v>1000</v>
      </c>
      <c r="E59" s="146">
        <v>269</v>
      </c>
      <c r="F59" s="146">
        <v>0</v>
      </c>
      <c r="G59" s="44">
        <f t="shared" si="9"/>
        <v>0</v>
      </c>
      <c r="H59" s="146">
        <v>0</v>
      </c>
      <c r="I59" s="44">
        <f t="shared" si="10"/>
        <v>0</v>
      </c>
      <c r="J59" s="146">
        <v>0</v>
      </c>
      <c r="K59" s="44">
        <f t="shared" si="11"/>
        <v>0</v>
      </c>
      <c r="L59" s="146">
        <v>0</v>
      </c>
      <c r="M59" s="44">
        <f t="shared" si="12"/>
        <v>0</v>
      </c>
      <c r="N59" s="146">
        <v>0</v>
      </c>
      <c r="O59" s="44">
        <f t="shared" si="13"/>
        <v>0</v>
      </c>
      <c r="P59" s="146">
        <v>0</v>
      </c>
      <c r="Q59" s="44">
        <f t="shared" si="14"/>
        <v>0</v>
      </c>
      <c r="R59" s="146">
        <v>0</v>
      </c>
      <c r="S59" s="44">
        <f t="shared" si="8"/>
        <v>0</v>
      </c>
      <c r="T59" s="146">
        <v>269</v>
      </c>
      <c r="U59" s="146">
        <v>200</v>
      </c>
      <c r="V59" s="146">
        <v>1000</v>
      </c>
      <c r="W59" s="146">
        <v>1000</v>
      </c>
    </row>
    <row r="60" spans="1:23" s="10" customFormat="1" ht="15" customHeight="1" hidden="1">
      <c r="A60" s="38">
        <v>6409</v>
      </c>
      <c r="B60" s="20">
        <v>6409</v>
      </c>
      <c r="C60" s="36" t="s">
        <v>60</v>
      </c>
      <c r="D60" s="146">
        <v>0</v>
      </c>
      <c r="E60" s="146">
        <v>0</v>
      </c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44" t="e">
        <f t="shared" si="8"/>
        <v>#DIV/0!</v>
      </c>
      <c r="T60" s="146">
        <v>0</v>
      </c>
      <c r="U60" s="146">
        <v>0</v>
      </c>
      <c r="V60" s="146">
        <v>0</v>
      </c>
      <c r="W60" s="146">
        <v>0</v>
      </c>
    </row>
    <row r="61" spans="1:23" s="10" customFormat="1" ht="15" customHeight="1">
      <c r="A61" s="38">
        <v>10006</v>
      </c>
      <c r="B61" s="20">
        <v>3322</v>
      </c>
      <c r="C61" s="36" t="s">
        <v>89</v>
      </c>
      <c r="D61" s="146">
        <v>0</v>
      </c>
      <c r="E61" s="146">
        <v>100</v>
      </c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>
        <v>0</v>
      </c>
      <c r="S61" s="44">
        <f t="shared" si="8"/>
        <v>0</v>
      </c>
      <c r="T61" s="146">
        <v>78</v>
      </c>
      <c r="U61" s="146">
        <v>0</v>
      </c>
      <c r="V61" s="146">
        <v>0</v>
      </c>
      <c r="W61" s="146">
        <v>0</v>
      </c>
    </row>
    <row r="62" spans="1:23" s="37" customFormat="1" ht="15.75">
      <c r="A62" s="15"/>
      <c r="B62" s="18"/>
      <c r="C62" s="39" t="s">
        <v>61</v>
      </c>
      <c r="D62" s="158">
        <f>SUM(D48:D61)</f>
        <v>5400</v>
      </c>
      <c r="E62" s="158">
        <f>SUM(E48:E61)</f>
        <v>2329</v>
      </c>
      <c r="F62" s="158">
        <f aca="true" t="shared" si="15" ref="F62:P62">SUM(F48:F60)</f>
        <v>227</v>
      </c>
      <c r="G62" s="158">
        <f t="shared" si="15"/>
        <v>108.00000000000001</v>
      </c>
      <c r="H62" s="158">
        <f t="shared" si="15"/>
        <v>335</v>
      </c>
      <c r="I62" s="158">
        <f t="shared" si="15"/>
        <v>227.89999999999998</v>
      </c>
      <c r="J62" s="158">
        <f t="shared" si="15"/>
        <v>562.9</v>
      </c>
      <c r="K62" s="158">
        <f t="shared" si="15"/>
        <v>106.80000000000001</v>
      </c>
      <c r="L62" s="158">
        <f t="shared" si="15"/>
        <v>669.7</v>
      </c>
      <c r="M62" s="158">
        <f t="shared" si="15"/>
        <v>278</v>
      </c>
      <c r="N62" s="158">
        <f t="shared" si="15"/>
        <v>1007.5</v>
      </c>
      <c r="O62" s="158">
        <f t="shared" si="15"/>
        <v>48</v>
      </c>
      <c r="P62" s="158">
        <f t="shared" si="15"/>
        <v>1055.5</v>
      </c>
      <c r="Q62" s="158">
        <f>SUM(Q48:Q60)</f>
        <v>-116.4</v>
      </c>
      <c r="R62" s="158">
        <f>SUM(R48:R61)</f>
        <v>939.1</v>
      </c>
      <c r="S62" s="44">
        <f t="shared" si="8"/>
        <v>40.32202662086733</v>
      </c>
      <c r="T62" s="158">
        <f>SUM(T48:T61)</f>
        <v>2481.4</v>
      </c>
      <c r="U62" s="158">
        <f>SUM(U48:U61)</f>
        <v>2520</v>
      </c>
      <c r="V62" s="158">
        <f>SUM(V48:V61)</f>
        <v>4200</v>
      </c>
      <c r="W62" s="158">
        <f>SUM(W48:W61)</f>
        <v>4200</v>
      </c>
    </row>
    <row r="63" spans="1:23" s="37" customFormat="1" ht="7.5" customHeight="1" hidden="1">
      <c r="A63" s="40"/>
      <c r="B63" s="41"/>
      <c r="C63" s="34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</row>
    <row r="64" spans="1:23" s="37" customFormat="1" ht="17.25" customHeight="1" hidden="1">
      <c r="A64" s="31"/>
      <c r="B64" s="42"/>
      <c r="C64" s="31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37" customFormat="1" ht="17.25" customHeight="1" hidden="1">
      <c r="A65" s="31"/>
      <c r="B65" s="42"/>
      <c r="C65" s="31"/>
      <c r="D65" s="32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32"/>
      <c r="U65" s="32"/>
      <c r="V65" s="32"/>
      <c r="W65" s="32"/>
    </row>
    <row r="66" spans="1:23" s="37" customFormat="1" ht="17.25" customHeight="1" hidden="1">
      <c r="A66" s="31"/>
      <c r="B66" s="42"/>
      <c r="C66" s="31"/>
      <c r="D66" s="32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32"/>
      <c r="U66" s="32"/>
      <c r="V66" s="32"/>
      <c r="W66" s="32"/>
    </row>
    <row r="67" spans="1:23" s="37" customFormat="1" ht="17.25" customHeight="1" hidden="1">
      <c r="A67" s="31"/>
      <c r="B67" s="42"/>
      <c r="C67" s="31"/>
      <c r="D67" s="32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32"/>
      <c r="U67" s="32"/>
      <c r="V67" s="32"/>
      <c r="W67" s="32"/>
    </row>
    <row r="68" spans="1:23" s="37" customFormat="1" ht="17.25" customHeight="1" hidden="1">
      <c r="A68" s="31"/>
      <c r="B68" s="42"/>
      <c r="C68" s="31"/>
      <c r="D68" s="32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32"/>
      <c r="U68" s="32"/>
      <c r="V68" s="32"/>
      <c r="W68" s="32"/>
    </row>
    <row r="69" spans="1:23" s="37" customFormat="1" ht="17.25" customHeight="1" hidden="1" thickBot="1">
      <c r="A69" s="31"/>
      <c r="B69" s="42"/>
      <c r="C69" s="31"/>
      <c r="D69" s="32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 t="s">
        <v>1</v>
      </c>
      <c r="T69" s="32"/>
      <c r="U69" s="32"/>
      <c r="V69" s="32"/>
      <c r="W69" s="32"/>
    </row>
    <row r="70" spans="1:23" s="37" customFormat="1" ht="17.25" customHeight="1" hidden="1">
      <c r="A70" s="31"/>
      <c r="B70" s="42"/>
      <c r="C70" s="31"/>
      <c r="D70" s="32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32"/>
      <c r="U70" s="32"/>
      <c r="V70" s="32"/>
      <c r="W70" s="32"/>
    </row>
    <row r="71" spans="1:23" s="37" customFormat="1" ht="16.5" customHeight="1" hidden="1" thickBot="1">
      <c r="A71" s="31"/>
      <c r="B71" s="42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37" customFormat="1" ht="15.75" customHeight="1" hidden="1">
      <c r="A72" s="154" t="s">
        <v>2</v>
      </c>
      <c r="B72" s="150" t="s">
        <v>3</v>
      </c>
      <c r="C72" s="148" t="s">
        <v>4</v>
      </c>
      <c r="D72" s="186" t="s">
        <v>5</v>
      </c>
      <c r="E72" s="186" t="s">
        <v>5</v>
      </c>
      <c r="F72" s="186" t="s">
        <v>6</v>
      </c>
      <c r="G72" s="186" t="s">
        <v>6</v>
      </c>
      <c r="H72" s="186" t="s">
        <v>6</v>
      </c>
      <c r="I72" s="186" t="s">
        <v>6</v>
      </c>
      <c r="J72" s="186" t="s">
        <v>6</v>
      </c>
      <c r="K72" s="186" t="s">
        <v>6</v>
      </c>
      <c r="L72" s="186" t="s">
        <v>6</v>
      </c>
      <c r="M72" s="186" t="s">
        <v>6</v>
      </c>
      <c r="N72" s="186" t="s">
        <v>6</v>
      </c>
      <c r="O72" s="186" t="s">
        <v>6</v>
      </c>
      <c r="P72" s="186" t="s">
        <v>6</v>
      </c>
      <c r="Q72" s="186" t="s">
        <v>6</v>
      </c>
      <c r="R72" s="186" t="s">
        <v>6</v>
      </c>
      <c r="S72" s="186" t="s">
        <v>7</v>
      </c>
      <c r="T72" s="186" t="s">
        <v>5</v>
      </c>
      <c r="U72" s="186" t="s">
        <v>5</v>
      </c>
      <c r="V72" s="186" t="s">
        <v>5</v>
      </c>
      <c r="W72" s="186" t="s">
        <v>5</v>
      </c>
    </row>
    <row r="73" spans="1:23" s="37" customFormat="1" ht="15.75" customHeight="1" hidden="1" thickBot="1">
      <c r="A73" s="151"/>
      <c r="B73" s="152"/>
      <c r="C73" s="153"/>
      <c r="D73" s="187" t="s">
        <v>8</v>
      </c>
      <c r="E73" s="187" t="s">
        <v>9</v>
      </c>
      <c r="F73" s="187" t="s">
        <v>10</v>
      </c>
      <c r="G73" s="187" t="s">
        <v>10</v>
      </c>
      <c r="H73" s="187" t="s">
        <v>10</v>
      </c>
      <c r="I73" s="187" t="s">
        <v>10</v>
      </c>
      <c r="J73" s="187" t="s">
        <v>10</v>
      </c>
      <c r="K73" s="187" t="s">
        <v>10</v>
      </c>
      <c r="L73" s="187" t="s">
        <v>10</v>
      </c>
      <c r="M73" s="187" t="s">
        <v>10</v>
      </c>
      <c r="N73" s="187" t="s">
        <v>10</v>
      </c>
      <c r="O73" s="187" t="s">
        <v>10</v>
      </c>
      <c r="P73" s="187" t="s">
        <v>10</v>
      </c>
      <c r="Q73" s="187" t="s">
        <v>10</v>
      </c>
      <c r="R73" s="187" t="s">
        <v>10</v>
      </c>
      <c r="S73" s="187" t="s">
        <v>23</v>
      </c>
      <c r="T73" s="187" t="s">
        <v>8</v>
      </c>
      <c r="U73" s="187" t="s">
        <v>8</v>
      </c>
      <c r="V73" s="187" t="s">
        <v>8</v>
      </c>
      <c r="W73" s="187" t="s">
        <v>8</v>
      </c>
    </row>
    <row r="74" spans="1:23" s="37" customFormat="1" ht="15.75">
      <c r="A74" s="21"/>
      <c r="B74" s="20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 s="37" customFormat="1" ht="15.75">
      <c r="A75" s="21"/>
      <c r="B75" s="20"/>
      <c r="C75" s="43" t="s">
        <v>474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s="37" customFormat="1" ht="14.25" customHeight="1">
      <c r="A76" s="21"/>
      <c r="B76" s="20"/>
      <c r="C76" s="35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37" customFormat="1" ht="15.75">
      <c r="A77" s="21">
        <v>71004</v>
      </c>
      <c r="B77" s="20">
        <v>2143</v>
      </c>
      <c r="C77" s="35" t="s">
        <v>62</v>
      </c>
      <c r="D77" s="44">
        <v>0</v>
      </c>
      <c r="E77" s="44">
        <v>179</v>
      </c>
      <c r="F77" s="44">
        <v>178.1</v>
      </c>
      <c r="G77" s="44">
        <f aca="true" t="shared" si="16" ref="G77:G120">H77-F77</f>
        <v>0</v>
      </c>
      <c r="H77" s="44">
        <v>178.1</v>
      </c>
      <c r="I77" s="44">
        <f aca="true" t="shared" si="17" ref="I77:I120">J77-H77</f>
        <v>0</v>
      </c>
      <c r="J77" s="44">
        <v>178.1</v>
      </c>
      <c r="K77" s="44">
        <f aca="true" t="shared" si="18" ref="K77:K120">L77-J77</f>
        <v>0</v>
      </c>
      <c r="L77" s="44">
        <v>178.1</v>
      </c>
      <c r="M77" s="44">
        <f aca="true" t="shared" si="19" ref="M77:M87">N77-L77</f>
        <v>0</v>
      </c>
      <c r="N77" s="44">
        <v>178.1</v>
      </c>
      <c r="O77" s="44">
        <f aca="true" t="shared" si="20" ref="O77:O119">P77-N77</f>
        <v>0</v>
      </c>
      <c r="P77" s="44">
        <v>178.1</v>
      </c>
      <c r="Q77" s="44">
        <f aca="true" t="shared" si="21" ref="Q77:Q119">R77-P77</f>
        <v>0</v>
      </c>
      <c r="R77" s="44">
        <v>178.1</v>
      </c>
      <c r="S77" s="44">
        <f aca="true" t="shared" si="22" ref="S77:S131">(R77/E77)*100</f>
        <v>99.4972067039106</v>
      </c>
      <c r="T77" s="44">
        <v>178.1</v>
      </c>
      <c r="U77" s="44">
        <v>0</v>
      </c>
      <c r="V77" s="44">
        <v>0</v>
      </c>
      <c r="W77" s="44">
        <v>0</v>
      </c>
    </row>
    <row r="78" spans="1:23" s="37" customFormat="1" ht="15.75">
      <c r="A78" s="21">
        <v>81023</v>
      </c>
      <c r="B78" s="20">
        <v>2143</v>
      </c>
      <c r="C78" s="35" t="s">
        <v>63</v>
      </c>
      <c r="D78" s="44">
        <v>15000</v>
      </c>
      <c r="E78" s="44">
        <v>16083</v>
      </c>
      <c r="F78" s="44">
        <v>2190.4</v>
      </c>
      <c r="G78" s="44">
        <f t="shared" si="16"/>
        <v>327.9000000000001</v>
      </c>
      <c r="H78" s="44">
        <v>2518.3</v>
      </c>
      <c r="I78" s="44">
        <f t="shared" si="17"/>
        <v>1322.1</v>
      </c>
      <c r="J78" s="44">
        <v>3840.4</v>
      </c>
      <c r="K78" s="44">
        <f t="shared" si="18"/>
        <v>1639.4</v>
      </c>
      <c r="L78" s="44">
        <v>5479.8</v>
      </c>
      <c r="M78" s="44">
        <f t="shared" si="19"/>
        <v>0</v>
      </c>
      <c r="N78" s="44">
        <v>5479.8</v>
      </c>
      <c r="O78" s="44">
        <f t="shared" si="20"/>
        <v>1937.5999999999995</v>
      </c>
      <c r="P78" s="44">
        <v>7417.4</v>
      </c>
      <c r="Q78" s="44">
        <f t="shared" si="21"/>
        <v>2769.6000000000004</v>
      </c>
      <c r="R78" s="44">
        <v>10187</v>
      </c>
      <c r="S78" s="44">
        <f t="shared" si="22"/>
        <v>63.34017285332338</v>
      </c>
      <c r="T78" s="44">
        <v>17100</v>
      </c>
      <c r="U78" s="44">
        <v>0</v>
      </c>
      <c r="V78" s="44">
        <v>0</v>
      </c>
      <c r="W78" s="44">
        <v>0</v>
      </c>
    </row>
    <row r="79" spans="1:23" s="37" customFormat="1" ht="15.75">
      <c r="A79" s="21">
        <v>61005</v>
      </c>
      <c r="B79" s="20">
        <v>2212</v>
      </c>
      <c r="C79" s="45" t="s">
        <v>64</v>
      </c>
      <c r="D79" s="44">
        <v>0</v>
      </c>
      <c r="E79" s="44">
        <v>2700</v>
      </c>
      <c r="F79" s="44">
        <v>0</v>
      </c>
      <c r="G79" s="44">
        <f t="shared" si="16"/>
        <v>29</v>
      </c>
      <c r="H79" s="44">
        <v>29</v>
      </c>
      <c r="I79" s="44">
        <f t="shared" si="17"/>
        <v>6</v>
      </c>
      <c r="J79" s="44">
        <v>35</v>
      </c>
      <c r="K79" s="44">
        <f t="shared" si="18"/>
        <v>0</v>
      </c>
      <c r="L79" s="44">
        <v>35</v>
      </c>
      <c r="M79" s="44">
        <f t="shared" si="19"/>
        <v>92.8</v>
      </c>
      <c r="N79" s="44">
        <v>127.8</v>
      </c>
      <c r="O79" s="44">
        <f t="shared" si="20"/>
        <v>0</v>
      </c>
      <c r="P79" s="44">
        <v>127.8</v>
      </c>
      <c r="Q79" s="44">
        <f t="shared" si="21"/>
        <v>359.9</v>
      </c>
      <c r="R79" s="44">
        <v>487.7</v>
      </c>
      <c r="S79" s="44">
        <f t="shared" si="22"/>
        <v>18.06296296296296</v>
      </c>
      <c r="T79" s="44">
        <v>1778.52</v>
      </c>
      <c r="U79" s="44">
        <v>0</v>
      </c>
      <c r="V79" s="44">
        <v>0</v>
      </c>
      <c r="W79" s="44">
        <v>0</v>
      </c>
    </row>
    <row r="80" spans="1:23" s="37" customFormat="1" ht="15.75">
      <c r="A80" s="21">
        <v>61006</v>
      </c>
      <c r="B80" s="20">
        <v>2212</v>
      </c>
      <c r="C80" s="35" t="s">
        <v>65</v>
      </c>
      <c r="D80" s="44">
        <v>2500</v>
      </c>
      <c r="E80" s="44">
        <v>4464</v>
      </c>
      <c r="F80" s="44">
        <v>875.3</v>
      </c>
      <c r="G80" s="44">
        <f t="shared" si="16"/>
        <v>0</v>
      </c>
      <c r="H80" s="44">
        <v>875.3</v>
      </c>
      <c r="I80" s="44">
        <f t="shared" si="17"/>
        <v>1773.2</v>
      </c>
      <c r="J80" s="44">
        <v>2648.5</v>
      </c>
      <c r="K80" s="44">
        <f t="shared" si="18"/>
        <v>1420.4</v>
      </c>
      <c r="L80" s="44">
        <v>4068.9</v>
      </c>
      <c r="M80" s="44">
        <f t="shared" si="19"/>
        <v>0</v>
      </c>
      <c r="N80" s="44">
        <v>4068.9</v>
      </c>
      <c r="O80" s="44">
        <f t="shared" si="20"/>
        <v>0</v>
      </c>
      <c r="P80" s="44">
        <v>4068.9</v>
      </c>
      <c r="Q80" s="44">
        <f t="shared" si="21"/>
        <v>0</v>
      </c>
      <c r="R80" s="44">
        <v>4068.9</v>
      </c>
      <c r="S80" s="44">
        <f t="shared" si="22"/>
        <v>91.1491935483871</v>
      </c>
      <c r="T80" s="44">
        <v>4068.9</v>
      </c>
      <c r="U80" s="44">
        <v>0</v>
      </c>
      <c r="V80" s="44">
        <v>0</v>
      </c>
      <c r="W80" s="44">
        <v>0</v>
      </c>
    </row>
    <row r="81" spans="1:23" s="37" customFormat="1" ht="15.75">
      <c r="A81" s="21">
        <v>81006</v>
      </c>
      <c r="B81" s="20">
        <v>2212</v>
      </c>
      <c r="C81" s="35" t="s">
        <v>66</v>
      </c>
      <c r="D81" s="44">
        <v>12000</v>
      </c>
      <c r="E81" s="44">
        <v>12651</v>
      </c>
      <c r="F81" s="44">
        <v>2290.5</v>
      </c>
      <c r="G81" s="44">
        <f t="shared" si="16"/>
        <v>2241.1000000000004</v>
      </c>
      <c r="H81" s="44">
        <v>4531.6</v>
      </c>
      <c r="I81" s="44">
        <f t="shared" si="17"/>
        <v>3030.0999999999995</v>
      </c>
      <c r="J81" s="44">
        <v>7561.7</v>
      </c>
      <c r="K81" s="44">
        <f t="shared" si="18"/>
        <v>2001.9000000000005</v>
      </c>
      <c r="L81" s="44">
        <v>9563.6</v>
      </c>
      <c r="M81" s="44">
        <f t="shared" si="19"/>
        <v>7.199999999998909</v>
      </c>
      <c r="N81" s="44">
        <v>9570.8</v>
      </c>
      <c r="O81" s="44">
        <f t="shared" si="20"/>
        <v>2961.800000000001</v>
      </c>
      <c r="P81" s="44">
        <v>12532.6</v>
      </c>
      <c r="Q81" s="44">
        <f t="shared" si="21"/>
        <v>88.69999999999891</v>
      </c>
      <c r="R81" s="44">
        <v>12621.3</v>
      </c>
      <c r="S81" s="44">
        <f t="shared" si="22"/>
        <v>99.7652359497273</v>
      </c>
      <c r="T81" s="44">
        <v>12621.3</v>
      </c>
      <c r="U81" s="44">
        <v>0</v>
      </c>
      <c r="V81" s="44">
        <v>0</v>
      </c>
      <c r="W81" s="44">
        <v>0</v>
      </c>
    </row>
    <row r="82" spans="1:23" s="37" customFormat="1" ht="15.75">
      <c r="A82" s="21">
        <v>81007</v>
      </c>
      <c r="B82" s="20">
        <v>2212</v>
      </c>
      <c r="C82" s="35" t="s">
        <v>67</v>
      </c>
      <c r="D82" s="44">
        <v>10000</v>
      </c>
      <c r="E82" s="44">
        <v>0</v>
      </c>
      <c r="F82" s="44">
        <v>0</v>
      </c>
      <c r="G82" s="44">
        <f t="shared" si="16"/>
        <v>0</v>
      </c>
      <c r="H82" s="44">
        <v>0</v>
      </c>
      <c r="I82" s="44">
        <f t="shared" si="17"/>
        <v>0</v>
      </c>
      <c r="J82" s="44">
        <v>0</v>
      </c>
      <c r="K82" s="44">
        <f t="shared" si="18"/>
        <v>0</v>
      </c>
      <c r="L82" s="44">
        <v>0</v>
      </c>
      <c r="M82" s="44">
        <f t="shared" si="19"/>
        <v>0</v>
      </c>
      <c r="N82" s="44">
        <v>0</v>
      </c>
      <c r="O82" s="44">
        <f t="shared" si="20"/>
        <v>0</v>
      </c>
      <c r="P82" s="44">
        <v>0</v>
      </c>
      <c r="Q82" s="44">
        <f t="shared" si="21"/>
        <v>0</v>
      </c>
      <c r="R82" s="44">
        <v>0</v>
      </c>
      <c r="S82" s="44" t="e">
        <f t="shared" si="22"/>
        <v>#DIV/0!</v>
      </c>
      <c r="T82" s="44">
        <v>0</v>
      </c>
      <c r="U82" s="44">
        <v>0</v>
      </c>
      <c r="V82" s="44">
        <v>0</v>
      </c>
      <c r="W82" s="44">
        <v>0</v>
      </c>
    </row>
    <row r="83" spans="1:23" s="37" customFormat="1" ht="15.75">
      <c r="A83" s="21">
        <v>91015</v>
      </c>
      <c r="B83" s="20">
        <v>2212</v>
      </c>
      <c r="C83" s="45" t="s">
        <v>68</v>
      </c>
      <c r="D83" s="44">
        <v>0</v>
      </c>
      <c r="E83" s="44">
        <v>12553</v>
      </c>
      <c r="F83" s="44">
        <v>7.2</v>
      </c>
      <c r="G83" s="44">
        <f t="shared" si="16"/>
        <v>9.3</v>
      </c>
      <c r="H83" s="44">
        <v>16.5</v>
      </c>
      <c r="I83" s="44">
        <f t="shared" si="17"/>
        <v>46.3</v>
      </c>
      <c r="J83" s="44">
        <v>62.8</v>
      </c>
      <c r="K83" s="44">
        <f t="shared" si="18"/>
        <v>0</v>
      </c>
      <c r="L83" s="44">
        <v>62.8</v>
      </c>
      <c r="M83" s="44">
        <f t="shared" si="19"/>
        <v>0</v>
      </c>
      <c r="N83" s="44">
        <v>62.8</v>
      </c>
      <c r="O83" s="44">
        <f t="shared" si="20"/>
        <v>3042.5</v>
      </c>
      <c r="P83" s="44">
        <v>3105.3</v>
      </c>
      <c r="Q83" s="44">
        <f t="shared" si="21"/>
        <v>4015.7</v>
      </c>
      <c r="R83" s="44">
        <v>7121</v>
      </c>
      <c r="S83" s="44">
        <f t="shared" si="22"/>
        <v>56.72747550386362</v>
      </c>
      <c r="T83" s="44">
        <v>12550</v>
      </c>
      <c r="U83" s="44">
        <v>0</v>
      </c>
      <c r="V83" s="44">
        <v>0</v>
      </c>
      <c r="W83" s="44">
        <v>0</v>
      </c>
    </row>
    <row r="84" spans="1:23" s="37" customFormat="1" ht="15.75">
      <c r="A84" s="21">
        <v>91017</v>
      </c>
      <c r="B84" s="20">
        <v>2212</v>
      </c>
      <c r="C84" s="35" t="s">
        <v>69</v>
      </c>
      <c r="D84" s="44">
        <v>0</v>
      </c>
      <c r="E84" s="44">
        <v>816</v>
      </c>
      <c r="F84" s="44">
        <v>758.3</v>
      </c>
      <c r="G84" s="44">
        <f t="shared" si="16"/>
        <v>0</v>
      </c>
      <c r="H84" s="44">
        <v>758.3</v>
      </c>
      <c r="I84" s="44">
        <f t="shared" si="17"/>
        <v>0</v>
      </c>
      <c r="J84" s="44">
        <v>758.3</v>
      </c>
      <c r="K84" s="44">
        <f t="shared" si="18"/>
        <v>0</v>
      </c>
      <c r="L84" s="44">
        <v>758.3</v>
      </c>
      <c r="M84" s="44">
        <f t="shared" si="19"/>
        <v>0</v>
      </c>
      <c r="N84" s="44">
        <v>758.3</v>
      </c>
      <c r="O84" s="44">
        <f t="shared" si="20"/>
        <v>0</v>
      </c>
      <c r="P84" s="44">
        <v>758.3</v>
      </c>
      <c r="Q84" s="44">
        <f t="shared" si="21"/>
        <v>0</v>
      </c>
      <c r="R84" s="44">
        <v>758.3</v>
      </c>
      <c r="S84" s="44">
        <f t="shared" si="22"/>
        <v>92.92892156862744</v>
      </c>
      <c r="T84" s="44">
        <v>758.3</v>
      </c>
      <c r="U84" s="44">
        <v>0</v>
      </c>
      <c r="V84" s="44">
        <v>0</v>
      </c>
      <c r="W84" s="44">
        <v>0</v>
      </c>
    </row>
    <row r="85" spans="1:23" s="37" customFormat="1" ht="15.75">
      <c r="A85" s="21"/>
      <c r="B85" s="20">
        <v>2212</v>
      </c>
      <c r="C85" s="35" t="s">
        <v>70</v>
      </c>
      <c r="D85" s="44">
        <v>0</v>
      </c>
      <c r="E85" s="44">
        <v>1781</v>
      </c>
      <c r="F85" s="44">
        <v>0</v>
      </c>
      <c r="G85" s="44">
        <f t="shared" si="16"/>
        <v>0</v>
      </c>
      <c r="H85" s="44">
        <v>0</v>
      </c>
      <c r="I85" s="44">
        <f t="shared" si="17"/>
        <v>1780.8</v>
      </c>
      <c r="J85" s="44">
        <v>1780.8</v>
      </c>
      <c r="K85" s="44">
        <f t="shared" si="18"/>
        <v>0</v>
      </c>
      <c r="L85" s="44">
        <v>1780.8</v>
      </c>
      <c r="M85" s="44">
        <f t="shared" si="19"/>
        <v>0</v>
      </c>
      <c r="N85" s="44">
        <v>1780.8</v>
      </c>
      <c r="O85" s="44">
        <f t="shared" si="20"/>
        <v>0</v>
      </c>
      <c r="P85" s="44">
        <v>1780.8</v>
      </c>
      <c r="Q85" s="44">
        <f t="shared" si="21"/>
        <v>-124.39999999999986</v>
      </c>
      <c r="R85" s="44">
        <v>1656.4</v>
      </c>
      <c r="S85" s="44">
        <f t="shared" si="22"/>
        <v>93.00393037619315</v>
      </c>
      <c r="T85" s="44">
        <v>1656.4</v>
      </c>
      <c r="U85" s="44">
        <v>0</v>
      </c>
      <c r="V85" s="44">
        <v>0</v>
      </c>
      <c r="W85" s="44">
        <v>0</v>
      </c>
    </row>
    <row r="86" spans="1:23" s="37" customFormat="1" ht="15.75">
      <c r="A86" s="21">
        <v>10002</v>
      </c>
      <c r="B86" s="20">
        <v>2219</v>
      </c>
      <c r="C86" s="35" t="s">
        <v>71</v>
      </c>
      <c r="D86" s="44">
        <v>7500</v>
      </c>
      <c r="E86" s="44">
        <v>1635.9</v>
      </c>
      <c r="F86" s="44">
        <v>0</v>
      </c>
      <c r="G86" s="44">
        <f t="shared" si="16"/>
        <v>0</v>
      </c>
      <c r="H86" s="44">
        <v>0</v>
      </c>
      <c r="I86" s="44">
        <f t="shared" si="17"/>
        <v>0</v>
      </c>
      <c r="J86" s="44">
        <v>0</v>
      </c>
      <c r="K86" s="44">
        <f t="shared" si="18"/>
        <v>149.2</v>
      </c>
      <c r="L86" s="44">
        <v>149.2</v>
      </c>
      <c r="M86" s="44">
        <f t="shared" si="19"/>
        <v>0</v>
      </c>
      <c r="N86" s="44">
        <v>149.2</v>
      </c>
      <c r="O86" s="44">
        <f t="shared" si="20"/>
        <v>14.400000000000006</v>
      </c>
      <c r="P86" s="44">
        <v>163.6</v>
      </c>
      <c r="Q86" s="44">
        <f t="shared" si="21"/>
        <v>54</v>
      </c>
      <c r="R86" s="44">
        <v>217.6</v>
      </c>
      <c r="S86" s="44">
        <f t="shared" si="22"/>
        <v>13.301546549300078</v>
      </c>
      <c r="T86" s="44">
        <v>281.5</v>
      </c>
      <c r="U86" s="44">
        <v>7218.5</v>
      </c>
      <c r="V86" s="44">
        <v>0</v>
      </c>
      <c r="W86" s="44">
        <v>0</v>
      </c>
    </row>
    <row r="87" spans="1:23" s="37" customFormat="1" ht="15.75">
      <c r="A87" s="21">
        <v>10014</v>
      </c>
      <c r="B87" s="20">
        <v>2219</v>
      </c>
      <c r="C87" s="35" t="s">
        <v>72</v>
      </c>
      <c r="D87" s="44">
        <v>0</v>
      </c>
      <c r="E87" s="44">
        <v>6132</v>
      </c>
      <c r="F87" s="44">
        <v>0</v>
      </c>
      <c r="G87" s="44">
        <f t="shared" si="16"/>
        <v>0</v>
      </c>
      <c r="H87" s="44">
        <v>0</v>
      </c>
      <c r="I87" s="44">
        <f t="shared" si="17"/>
        <v>0</v>
      </c>
      <c r="J87" s="44">
        <v>0</v>
      </c>
      <c r="K87" s="44">
        <f t="shared" si="18"/>
        <v>0</v>
      </c>
      <c r="L87" s="44">
        <v>0</v>
      </c>
      <c r="M87" s="44">
        <f t="shared" si="19"/>
        <v>0</v>
      </c>
      <c r="N87" s="44">
        <v>0</v>
      </c>
      <c r="O87" s="44">
        <f t="shared" si="20"/>
        <v>0</v>
      </c>
      <c r="P87" s="44">
        <v>0</v>
      </c>
      <c r="Q87" s="44">
        <f t="shared" si="21"/>
        <v>226.1</v>
      </c>
      <c r="R87" s="44">
        <v>226.1</v>
      </c>
      <c r="S87" s="44">
        <f t="shared" si="22"/>
        <v>3.687214611872146</v>
      </c>
      <c r="T87" s="44">
        <v>6108.85</v>
      </c>
      <c r="U87" s="44">
        <v>0</v>
      </c>
      <c r="V87" s="44">
        <v>0</v>
      </c>
      <c r="W87" s="44">
        <v>0</v>
      </c>
    </row>
    <row r="88" spans="1:23" s="37" customFormat="1" ht="15.75">
      <c r="A88" s="21">
        <v>10016</v>
      </c>
      <c r="B88" s="20">
        <v>2219</v>
      </c>
      <c r="C88" s="35" t="s">
        <v>73</v>
      </c>
      <c r="D88" s="44">
        <v>0</v>
      </c>
      <c r="E88" s="44">
        <v>1195</v>
      </c>
      <c r="F88" s="44">
        <v>0</v>
      </c>
      <c r="G88" s="44">
        <f t="shared" si="16"/>
        <v>0</v>
      </c>
      <c r="H88" s="44">
        <v>0</v>
      </c>
      <c r="I88" s="44">
        <f t="shared" si="17"/>
        <v>0</v>
      </c>
      <c r="J88" s="44">
        <v>0</v>
      </c>
      <c r="K88" s="44">
        <f t="shared" si="18"/>
        <v>0</v>
      </c>
      <c r="L88" s="44">
        <v>0</v>
      </c>
      <c r="M88" s="44">
        <f>N88-L88</f>
        <v>0</v>
      </c>
      <c r="N88" s="44">
        <v>0</v>
      </c>
      <c r="O88" s="44">
        <f t="shared" si="20"/>
        <v>0</v>
      </c>
      <c r="P88" s="44">
        <v>0</v>
      </c>
      <c r="Q88" s="44">
        <f t="shared" si="21"/>
        <v>0</v>
      </c>
      <c r="R88" s="44">
        <v>0</v>
      </c>
      <c r="S88" s="44">
        <f t="shared" si="22"/>
        <v>0</v>
      </c>
      <c r="T88" s="44">
        <v>1182.31</v>
      </c>
      <c r="U88" s="44">
        <v>0</v>
      </c>
      <c r="V88" s="44">
        <v>0</v>
      </c>
      <c r="W88" s="44">
        <v>0</v>
      </c>
    </row>
    <row r="89" spans="1:23" s="37" customFormat="1" ht="15.75">
      <c r="A89" s="21">
        <v>71002</v>
      </c>
      <c r="B89" s="20">
        <v>2219</v>
      </c>
      <c r="C89" s="35" t="s">
        <v>74</v>
      </c>
      <c r="D89" s="44">
        <v>0</v>
      </c>
      <c r="E89" s="44">
        <v>84</v>
      </c>
      <c r="F89" s="44">
        <v>0</v>
      </c>
      <c r="G89" s="44">
        <f t="shared" si="16"/>
        <v>0</v>
      </c>
      <c r="H89" s="44">
        <v>0</v>
      </c>
      <c r="I89" s="44">
        <f t="shared" si="17"/>
        <v>12</v>
      </c>
      <c r="J89" s="44">
        <v>12</v>
      </c>
      <c r="K89" s="44">
        <f t="shared" si="18"/>
        <v>0</v>
      </c>
      <c r="L89" s="44">
        <v>12</v>
      </c>
      <c r="M89" s="44">
        <f aca="true" t="shared" si="23" ref="M89:M119">N89-L89</f>
        <v>0</v>
      </c>
      <c r="N89" s="44">
        <v>12</v>
      </c>
      <c r="O89" s="44">
        <f t="shared" si="20"/>
        <v>0</v>
      </c>
      <c r="P89" s="44">
        <v>12</v>
      </c>
      <c r="Q89" s="44">
        <f t="shared" si="21"/>
        <v>0</v>
      </c>
      <c r="R89" s="44">
        <v>12</v>
      </c>
      <c r="S89" s="44">
        <f t="shared" si="22"/>
        <v>14.285714285714285</v>
      </c>
      <c r="T89" s="44">
        <v>12</v>
      </c>
      <c r="U89" s="44">
        <v>0</v>
      </c>
      <c r="V89" s="44">
        <v>0</v>
      </c>
      <c r="W89" s="44">
        <v>0</v>
      </c>
    </row>
    <row r="90" spans="1:23" s="37" customFormat="1" ht="15.75">
      <c r="A90" s="21">
        <v>71010</v>
      </c>
      <c r="B90" s="20">
        <v>2219</v>
      </c>
      <c r="C90" s="35" t="s">
        <v>75</v>
      </c>
      <c r="D90" s="44">
        <v>0</v>
      </c>
      <c r="E90" s="44">
        <v>5000</v>
      </c>
      <c r="F90" s="44">
        <v>0</v>
      </c>
      <c r="G90" s="44">
        <f t="shared" si="16"/>
        <v>0</v>
      </c>
      <c r="H90" s="44">
        <v>0</v>
      </c>
      <c r="I90" s="44">
        <f t="shared" si="17"/>
        <v>0</v>
      </c>
      <c r="J90" s="44">
        <v>0</v>
      </c>
      <c r="K90" s="44">
        <f t="shared" si="18"/>
        <v>30</v>
      </c>
      <c r="L90" s="44">
        <v>30</v>
      </c>
      <c r="M90" s="44">
        <f t="shared" si="23"/>
        <v>7.200000000000003</v>
      </c>
      <c r="N90" s="44">
        <v>37.2</v>
      </c>
      <c r="O90" s="44">
        <f t="shared" si="20"/>
        <v>3007.9</v>
      </c>
      <c r="P90" s="44">
        <v>3045.1</v>
      </c>
      <c r="Q90" s="44">
        <f t="shared" si="21"/>
        <v>2196.5000000000005</v>
      </c>
      <c r="R90" s="44">
        <v>5241.6</v>
      </c>
      <c r="S90" s="44">
        <f t="shared" si="22"/>
        <v>104.83200000000001</v>
      </c>
      <c r="T90" s="44">
        <v>5558.17</v>
      </c>
      <c r="U90" s="44">
        <v>0</v>
      </c>
      <c r="V90" s="44">
        <v>0</v>
      </c>
      <c r="W90" s="44">
        <v>0</v>
      </c>
    </row>
    <row r="91" spans="1:23" s="37" customFormat="1" ht="15.75">
      <c r="A91" s="21">
        <v>71011</v>
      </c>
      <c r="B91" s="20">
        <v>2219</v>
      </c>
      <c r="C91" s="35" t="s">
        <v>76</v>
      </c>
      <c r="D91" s="44">
        <v>6000</v>
      </c>
      <c r="E91" s="44">
        <v>8372</v>
      </c>
      <c r="F91" s="44">
        <v>721.2</v>
      </c>
      <c r="G91" s="44">
        <f t="shared" si="16"/>
        <v>1486.7</v>
      </c>
      <c r="H91" s="44">
        <v>2207.9</v>
      </c>
      <c r="I91" s="44">
        <f t="shared" si="17"/>
        <v>3297.6</v>
      </c>
      <c r="J91" s="44">
        <v>5505.5</v>
      </c>
      <c r="K91" s="44">
        <f t="shared" si="18"/>
        <v>2275</v>
      </c>
      <c r="L91" s="44">
        <v>7780.5</v>
      </c>
      <c r="M91" s="44">
        <f t="shared" si="23"/>
        <v>72.19999999999982</v>
      </c>
      <c r="N91" s="44">
        <v>7852.7</v>
      </c>
      <c r="O91" s="44">
        <f t="shared" si="20"/>
        <v>0</v>
      </c>
      <c r="P91" s="44">
        <v>7852.7</v>
      </c>
      <c r="Q91" s="44">
        <f t="shared" si="21"/>
        <v>0</v>
      </c>
      <c r="R91" s="44">
        <v>7852.7</v>
      </c>
      <c r="S91" s="44">
        <f t="shared" si="22"/>
        <v>93.79718107978977</v>
      </c>
      <c r="T91" s="44">
        <v>8350.16</v>
      </c>
      <c r="U91" s="44">
        <v>0</v>
      </c>
      <c r="V91" s="44">
        <v>0</v>
      </c>
      <c r="W91" s="44">
        <v>0</v>
      </c>
    </row>
    <row r="92" spans="1:23" s="37" customFormat="1" ht="15.75" customHeight="1">
      <c r="A92" s="21">
        <v>91005</v>
      </c>
      <c r="B92" s="20">
        <v>2219</v>
      </c>
      <c r="C92" s="46" t="s">
        <v>77</v>
      </c>
      <c r="D92" s="44">
        <v>0</v>
      </c>
      <c r="E92" s="44">
        <v>9000</v>
      </c>
      <c r="F92" s="44">
        <v>0</v>
      </c>
      <c r="G92" s="44">
        <f t="shared" si="16"/>
        <v>0</v>
      </c>
      <c r="H92" s="44">
        <v>0</v>
      </c>
      <c r="I92" s="44">
        <f t="shared" si="17"/>
        <v>22.2</v>
      </c>
      <c r="J92" s="44">
        <v>22.2</v>
      </c>
      <c r="K92" s="44">
        <f t="shared" si="18"/>
        <v>15.599999999999998</v>
      </c>
      <c r="L92" s="44">
        <v>37.8</v>
      </c>
      <c r="M92" s="44">
        <f t="shared" si="23"/>
        <v>29.5</v>
      </c>
      <c r="N92" s="44">
        <v>67.3</v>
      </c>
      <c r="O92" s="44">
        <f t="shared" si="20"/>
        <v>0</v>
      </c>
      <c r="P92" s="44">
        <v>67.3</v>
      </c>
      <c r="Q92" s="44">
        <f t="shared" si="21"/>
        <v>902.4000000000001</v>
      </c>
      <c r="R92" s="44">
        <v>969.7</v>
      </c>
      <c r="S92" s="44">
        <f t="shared" si="22"/>
        <v>10.774444444444445</v>
      </c>
      <c r="T92" s="44">
        <v>8589.59</v>
      </c>
      <c r="U92" s="44">
        <v>0</v>
      </c>
      <c r="V92" s="44">
        <v>0</v>
      </c>
      <c r="W92" s="44">
        <v>0</v>
      </c>
    </row>
    <row r="93" spans="1:23" s="37" customFormat="1" ht="15.75" customHeight="1">
      <c r="A93" s="21">
        <v>91008</v>
      </c>
      <c r="B93" s="20">
        <v>2219</v>
      </c>
      <c r="C93" s="47" t="s">
        <v>78</v>
      </c>
      <c r="D93" s="44">
        <v>0</v>
      </c>
      <c r="E93" s="44">
        <v>600</v>
      </c>
      <c r="F93" s="44">
        <v>0</v>
      </c>
      <c r="G93" s="44">
        <f t="shared" si="16"/>
        <v>250</v>
      </c>
      <c r="H93" s="44">
        <v>250</v>
      </c>
      <c r="I93" s="44">
        <f t="shared" si="17"/>
        <v>0</v>
      </c>
      <c r="J93" s="44">
        <v>250</v>
      </c>
      <c r="K93" s="44">
        <f t="shared" si="18"/>
        <v>0</v>
      </c>
      <c r="L93" s="44">
        <v>250</v>
      </c>
      <c r="M93" s="44">
        <f t="shared" si="23"/>
        <v>0</v>
      </c>
      <c r="N93" s="44">
        <v>250</v>
      </c>
      <c r="O93" s="44">
        <f t="shared" si="20"/>
        <v>120</v>
      </c>
      <c r="P93" s="44">
        <v>370</v>
      </c>
      <c r="Q93" s="44">
        <f t="shared" si="21"/>
        <v>0</v>
      </c>
      <c r="R93" s="44">
        <v>370</v>
      </c>
      <c r="S93" s="44">
        <f t="shared" si="22"/>
        <v>61.66666666666667</v>
      </c>
      <c r="T93" s="44">
        <v>598.2</v>
      </c>
      <c r="U93" s="44">
        <v>0</v>
      </c>
      <c r="V93" s="44">
        <v>0</v>
      </c>
      <c r="W93" s="44">
        <v>0</v>
      </c>
    </row>
    <row r="94" spans="1:23" s="37" customFormat="1" ht="15.75">
      <c r="A94" s="48">
        <v>71007</v>
      </c>
      <c r="B94" s="49">
        <v>2221</v>
      </c>
      <c r="C94" s="50" t="s">
        <v>79</v>
      </c>
      <c r="D94" s="44">
        <v>0</v>
      </c>
      <c r="E94" s="44">
        <v>1085</v>
      </c>
      <c r="F94" s="44">
        <v>0</v>
      </c>
      <c r="G94" s="44">
        <f t="shared" si="16"/>
        <v>0</v>
      </c>
      <c r="H94" s="44">
        <v>0</v>
      </c>
      <c r="I94" s="44">
        <f t="shared" si="17"/>
        <v>0</v>
      </c>
      <c r="J94" s="44">
        <v>0</v>
      </c>
      <c r="K94" s="44">
        <f t="shared" si="18"/>
        <v>0</v>
      </c>
      <c r="L94" s="44">
        <v>0</v>
      </c>
      <c r="M94" s="44">
        <f t="shared" si="23"/>
        <v>0</v>
      </c>
      <c r="N94" s="44">
        <v>0</v>
      </c>
      <c r="O94" s="44">
        <f t="shared" si="20"/>
        <v>0</v>
      </c>
      <c r="P94" s="44">
        <v>0</v>
      </c>
      <c r="Q94" s="44">
        <f t="shared" si="21"/>
        <v>0</v>
      </c>
      <c r="R94" s="44">
        <v>0</v>
      </c>
      <c r="S94" s="44">
        <f t="shared" si="22"/>
        <v>0</v>
      </c>
      <c r="T94" s="44">
        <v>273.46</v>
      </c>
      <c r="U94" s="44">
        <v>843.8</v>
      </c>
      <c r="V94" s="44">
        <v>0</v>
      </c>
      <c r="W94" s="44">
        <v>0</v>
      </c>
    </row>
    <row r="95" spans="1:23" s="37" customFormat="1" ht="15.75">
      <c r="A95" s="21">
        <v>91018</v>
      </c>
      <c r="B95" s="20">
        <v>3111</v>
      </c>
      <c r="C95" s="35" t="s">
        <v>80</v>
      </c>
      <c r="D95" s="44">
        <v>0</v>
      </c>
      <c r="E95" s="44">
        <f>1321+27</f>
        <v>1348</v>
      </c>
      <c r="F95" s="44">
        <v>476.4</v>
      </c>
      <c r="G95" s="44">
        <f t="shared" si="16"/>
        <v>420</v>
      </c>
      <c r="H95" s="44">
        <v>896.4</v>
      </c>
      <c r="I95" s="44">
        <f t="shared" si="17"/>
        <v>36</v>
      </c>
      <c r="J95" s="44">
        <v>932.4</v>
      </c>
      <c r="K95" s="44">
        <f t="shared" si="18"/>
        <v>134.39999999999998</v>
      </c>
      <c r="L95" s="44">
        <v>1066.8</v>
      </c>
      <c r="M95" s="44">
        <f t="shared" si="23"/>
        <v>120</v>
      </c>
      <c r="N95" s="44">
        <v>1186.8</v>
      </c>
      <c r="O95" s="44">
        <f t="shared" si="20"/>
        <v>0</v>
      </c>
      <c r="P95" s="44">
        <v>1186.8</v>
      </c>
      <c r="Q95" s="44">
        <f t="shared" si="21"/>
        <v>24</v>
      </c>
      <c r="R95" s="44">
        <v>1210.8</v>
      </c>
      <c r="S95" s="44">
        <f t="shared" si="22"/>
        <v>89.82195845697329</v>
      </c>
      <c r="T95" s="44">
        <v>2193.02</v>
      </c>
      <c r="U95" s="44">
        <v>0</v>
      </c>
      <c r="V95" s="44">
        <v>0</v>
      </c>
      <c r="W95" s="44">
        <v>0</v>
      </c>
    </row>
    <row r="96" spans="1:23" s="37" customFormat="1" ht="15.75">
      <c r="A96" s="21">
        <v>91020</v>
      </c>
      <c r="B96" s="20">
        <v>3111</v>
      </c>
      <c r="C96" s="35" t="s">
        <v>81</v>
      </c>
      <c r="D96" s="44">
        <v>0</v>
      </c>
      <c r="E96" s="44">
        <v>2880</v>
      </c>
      <c r="F96" s="44">
        <v>359.6</v>
      </c>
      <c r="G96" s="44">
        <f t="shared" si="16"/>
        <v>1002.4999999999999</v>
      </c>
      <c r="H96" s="44">
        <v>1362.1</v>
      </c>
      <c r="I96" s="44">
        <f t="shared" si="17"/>
        <v>1143.6</v>
      </c>
      <c r="J96" s="44">
        <v>2505.7</v>
      </c>
      <c r="K96" s="44">
        <f t="shared" si="18"/>
        <v>366.4000000000001</v>
      </c>
      <c r="L96" s="44">
        <v>2872.1</v>
      </c>
      <c r="M96" s="44">
        <f t="shared" si="23"/>
        <v>7.200000000000273</v>
      </c>
      <c r="N96" s="44">
        <v>2879.3</v>
      </c>
      <c r="O96" s="44">
        <f t="shared" si="20"/>
        <v>0</v>
      </c>
      <c r="P96" s="44">
        <v>2879.3</v>
      </c>
      <c r="Q96" s="44">
        <f t="shared" si="21"/>
        <v>0</v>
      </c>
      <c r="R96" s="44">
        <v>2879.3</v>
      </c>
      <c r="S96" s="44">
        <f t="shared" si="22"/>
        <v>99.97569444444446</v>
      </c>
      <c r="T96" s="44">
        <v>2879.3</v>
      </c>
      <c r="U96" s="44">
        <v>0</v>
      </c>
      <c r="V96" s="44">
        <v>0</v>
      </c>
      <c r="W96" s="44">
        <v>0</v>
      </c>
    </row>
    <row r="97" spans="1:23" s="37" customFormat="1" ht="15.75">
      <c r="A97" s="21">
        <v>91021</v>
      </c>
      <c r="B97" s="20">
        <v>3111</v>
      </c>
      <c r="C97" s="35" t="s">
        <v>82</v>
      </c>
      <c r="D97" s="44">
        <v>0</v>
      </c>
      <c r="E97" s="44">
        <v>2714</v>
      </c>
      <c r="F97" s="44">
        <v>1245.8</v>
      </c>
      <c r="G97" s="44">
        <f t="shared" si="16"/>
        <v>1441.1000000000001</v>
      </c>
      <c r="H97" s="44">
        <v>2686.9</v>
      </c>
      <c r="I97" s="44">
        <f t="shared" si="17"/>
        <v>0</v>
      </c>
      <c r="J97" s="44">
        <v>2686.9</v>
      </c>
      <c r="K97" s="44">
        <f t="shared" si="18"/>
        <v>0</v>
      </c>
      <c r="L97" s="44">
        <v>2686.9</v>
      </c>
      <c r="M97" s="44">
        <f t="shared" si="23"/>
        <v>0</v>
      </c>
      <c r="N97" s="44">
        <v>2686.9</v>
      </c>
      <c r="O97" s="44">
        <f t="shared" si="20"/>
        <v>0</v>
      </c>
      <c r="P97" s="44">
        <v>2686.9</v>
      </c>
      <c r="Q97" s="44">
        <f t="shared" si="21"/>
        <v>0</v>
      </c>
      <c r="R97" s="44">
        <v>2686.9</v>
      </c>
      <c r="S97" s="44">
        <f t="shared" si="22"/>
        <v>99.00147383935152</v>
      </c>
      <c r="T97" s="44">
        <v>2686.9</v>
      </c>
      <c r="U97" s="44">
        <v>0</v>
      </c>
      <c r="V97" s="44">
        <v>0</v>
      </c>
      <c r="W97" s="44">
        <v>0</v>
      </c>
    </row>
    <row r="98" spans="1:23" s="37" customFormat="1" ht="15.75">
      <c r="A98" s="21">
        <v>71005</v>
      </c>
      <c r="B98" s="20">
        <v>3113</v>
      </c>
      <c r="C98" s="35" t="s">
        <v>83</v>
      </c>
      <c r="D98" s="44">
        <v>0</v>
      </c>
      <c r="E98" s="44">
        <v>6</v>
      </c>
      <c r="F98" s="44">
        <v>0</v>
      </c>
      <c r="G98" s="44">
        <f t="shared" si="16"/>
        <v>0</v>
      </c>
      <c r="H98" s="44">
        <v>0</v>
      </c>
      <c r="I98" s="44">
        <f t="shared" si="17"/>
        <v>0</v>
      </c>
      <c r="J98" s="44">
        <v>0</v>
      </c>
      <c r="K98" s="44">
        <f t="shared" si="18"/>
        <v>6</v>
      </c>
      <c r="L98" s="44">
        <v>6</v>
      </c>
      <c r="M98" s="44">
        <f t="shared" si="23"/>
        <v>0</v>
      </c>
      <c r="N98" s="44">
        <v>6</v>
      </c>
      <c r="O98" s="44">
        <f t="shared" si="20"/>
        <v>0</v>
      </c>
      <c r="P98" s="44">
        <v>6</v>
      </c>
      <c r="Q98" s="44">
        <f t="shared" si="21"/>
        <v>0</v>
      </c>
      <c r="R98" s="44">
        <v>6</v>
      </c>
      <c r="S98" s="44">
        <f t="shared" si="22"/>
        <v>100</v>
      </c>
      <c r="T98" s="44">
        <v>6</v>
      </c>
      <c r="U98" s="44">
        <v>0</v>
      </c>
      <c r="V98" s="44">
        <v>0</v>
      </c>
      <c r="W98" s="44">
        <v>0</v>
      </c>
    </row>
    <row r="99" spans="1:23" s="37" customFormat="1" ht="15.75">
      <c r="A99" s="21">
        <v>81015</v>
      </c>
      <c r="B99" s="20">
        <v>3113</v>
      </c>
      <c r="C99" s="35" t="s">
        <v>84</v>
      </c>
      <c r="D99" s="44">
        <v>0</v>
      </c>
      <c r="E99" s="44">
        <v>119</v>
      </c>
      <c r="F99" s="44">
        <v>0</v>
      </c>
      <c r="G99" s="44">
        <f t="shared" si="16"/>
        <v>0</v>
      </c>
      <c r="H99" s="44">
        <v>0</v>
      </c>
      <c r="I99" s="44">
        <f t="shared" si="17"/>
        <v>0</v>
      </c>
      <c r="J99" s="44">
        <v>0</v>
      </c>
      <c r="K99" s="44">
        <f t="shared" si="18"/>
        <v>0</v>
      </c>
      <c r="L99" s="44">
        <v>0</v>
      </c>
      <c r="M99" s="44">
        <f t="shared" si="23"/>
        <v>0</v>
      </c>
      <c r="N99" s="44">
        <v>0</v>
      </c>
      <c r="O99" s="44">
        <f t="shared" si="20"/>
        <v>0</v>
      </c>
      <c r="P99" s="44">
        <v>0</v>
      </c>
      <c r="Q99" s="44">
        <f t="shared" si="21"/>
        <v>0</v>
      </c>
      <c r="R99" s="44">
        <v>0</v>
      </c>
      <c r="S99" s="44">
        <f t="shared" si="22"/>
        <v>0</v>
      </c>
      <c r="T99" s="44">
        <v>0</v>
      </c>
      <c r="U99" s="44">
        <v>0</v>
      </c>
      <c r="V99" s="44">
        <v>0</v>
      </c>
      <c r="W99" s="44">
        <v>0</v>
      </c>
    </row>
    <row r="100" spans="1:23" s="37" customFormat="1" ht="15.75">
      <c r="A100" s="21">
        <v>81018</v>
      </c>
      <c r="B100" s="20">
        <v>3113</v>
      </c>
      <c r="C100" s="35" t="s">
        <v>85</v>
      </c>
      <c r="D100" s="44">
        <v>0</v>
      </c>
      <c r="E100" s="44">
        <v>200</v>
      </c>
      <c r="F100" s="44">
        <v>0</v>
      </c>
      <c r="G100" s="44">
        <f t="shared" si="16"/>
        <v>0</v>
      </c>
      <c r="H100" s="44">
        <v>0</v>
      </c>
      <c r="I100" s="44">
        <f t="shared" si="17"/>
        <v>187.2</v>
      </c>
      <c r="J100" s="44">
        <v>187.2</v>
      </c>
      <c r="K100" s="44">
        <f t="shared" si="18"/>
        <v>0</v>
      </c>
      <c r="L100" s="44">
        <v>187.2</v>
      </c>
      <c r="M100" s="44">
        <f t="shared" si="23"/>
        <v>0</v>
      </c>
      <c r="N100" s="44">
        <v>187.2</v>
      </c>
      <c r="O100" s="44">
        <f t="shared" si="20"/>
        <v>0</v>
      </c>
      <c r="P100" s="44">
        <v>187.2</v>
      </c>
      <c r="Q100" s="44">
        <f t="shared" si="21"/>
        <v>0</v>
      </c>
      <c r="R100" s="44">
        <v>187.2</v>
      </c>
      <c r="S100" s="44">
        <f t="shared" si="22"/>
        <v>93.6</v>
      </c>
      <c r="T100" s="44">
        <v>200</v>
      </c>
      <c r="U100" s="44">
        <v>0</v>
      </c>
      <c r="V100" s="44">
        <v>0</v>
      </c>
      <c r="W100" s="44">
        <v>0</v>
      </c>
    </row>
    <row r="101" spans="1:23" s="37" customFormat="1" ht="15.75">
      <c r="A101" s="21">
        <v>91006</v>
      </c>
      <c r="B101" s="20">
        <v>3113</v>
      </c>
      <c r="C101" s="35" t="s">
        <v>86</v>
      </c>
      <c r="D101" s="44">
        <v>0</v>
      </c>
      <c r="E101" s="44">
        <v>6237</v>
      </c>
      <c r="F101" s="44">
        <v>0</v>
      </c>
      <c r="G101" s="44">
        <f t="shared" si="16"/>
        <v>0</v>
      </c>
      <c r="H101" s="44">
        <v>0</v>
      </c>
      <c r="I101" s="44">
        <f t="shared" si="17"/>
        <v>0</v>
      </c>
      <c r="J101" s="44">
        <v>0</v>
      </c>
      <c r="K101" s="44">
        <f t="shared" si="18"/>
        <v>0</v>
      </c>
      <c r="L101" s="44">
        <v>0</v>
      </c>
      <c r="M101" s="44">
        <f t="shared" si="23"/>
        <v>0</v>
      </c>
      <c r="N101" s="44">
        <v>0</v>
      </c>
      <c r="O101" s="44">
        <f t="shared" si="20"/>
        <v>704.7</v>
      </c>
      <c r="P101" s="44">
        <v>704.7</v>
      </c>
      <c r="Q101" s="44">
        <f t="shared" si="21"/>
        <v>2185.8</v>
      </c>
      <c r="R101" s="44">
        <v>2890.5</v>
      </c>
      <c r="S101" s="44">
        <f t="shared" si="22"/>
        <v>46.344396344396344</v>
      </c>
      <c r="T101" s="44">
        <v>6244.54</v>
      </c>
      <c r="U101" s="44">
        <v>0</v>
      </c>
      <c r="V101" s="44">
        <v>0</v>
      </c>
      <c r="W101" s="44">
        <v>0</v>
      </c>
    </row>
    <row r="102" spans="1:23" s="37" customFormat="1" ht="15.75">
      <c r="A102" s="21">
        <v>91019</v>
      </c>
      <c r="B102" s="20">
        <v>3113</v>
      </c>
      <c r="C102" s="35" t="s">
        <v>87</v>
      </c>
      <c r="D102" s="44">
        <v>0</v>
      </c>
      <c r="E102" s="44">
        <v>920</v>
      </c>
      <c r="F102" s="44">
        <v>0</v>
      </c>
      <c r="G102" s="44">
        <f t="shared" si="16"/>
        <v>663.6</v>
      </c>
      <c r="H102" s="44">
        <v>663.6</v>
      </c>
      <c r="I102" s="44">
        <f t="shared" si="17"/>
        <v>18</v>
      </c>
      <c r="J102" s="44">
        <v>681.6</v>
      </c>
      <c r="K102" s="44">
        <f t="shared" si="18"/>
        <v>0</v>
      </c>
      <c r="L102" s="44">
        <v>681.6</v>
      </c>
      <c r="M102" s="44">
        <f t="shared" si="23"/>
        <v>7.199999999999932</v>
      </c>
      <c r="N102" s="44">
        <v>688.8</v>
      </c>
      <c r="O102" s="44">
        <f t="shared" si="20"/>
        <v>0</v>
      </c>
      <c r="P102" s="44">
        <v>688.8</v>
      </c>
      <c r="Q102" s="44">
        <f t="shared" si="21"/>
        <v>0</v>
      </c>
      <c r="R102" s="44">
        <v>688.8</v>
      </c>
      <c r="S102" s="44">
        <f t="shared" si="22"/>
        <v>74.8695652173913</v>
      </c>
      <c r="T102" s="44">
        <v>712.8</v>
      </c>
      <c r="U102" s="44">
        <v>0</v>
      </c>
      <c r="V102" s="44">
        <v>0</v>
      </c>
      <c r="W102" s="44">
        <v>0</v>
      </c>
    </row>
    <row r="103" spans="1:23" s="37" customFormat="1" ht="15.75">
      <c r="A103" s="21">
        <v>10007</v>
      </c>
      <c r="B103" s="20">
        <v>3314</v>
      </c>
      <c r="C103" s="35" t="s">
        <v>88</v>
      </c>
      <c r="D103" s="44">
        <v>0</v>
      </c>
      <c r="E103" s="44">
        <v>3361</v>
      </c>
      <c r="F103" s="44">
        <v>0</v>
      </c>
      <c r="G103" s="44">
        <f t="shared" si="16"/>
        <v>0</v>
      </c>
      <c r="H103" s="44">
        <v>0</v>
      </c>
      <c r="I103" s="44">
        <f t="shared" si="17"/>
        <v>60</v>
      </c>
      <c r="J103" s="44">
        <v>60</v>
      </c>
      <c r="K103" s="44">
        <f t="shared" si="18"/>
        <v>6</v>
      </c>
      <c r="L103" s="44">
        <v>66</v>
      </c>
      <c r="M103" s="44">
        <f t="shared" si="23"/>
        <v>328</v>
      </c>
      <c r="N103" s="44">
        <v>394</v>
      </c>
      <c r="O103" s="44">
        <f t="shared" si="20"/>
        <v>1259.3</v>
      </c>
      <c r="P103" s="44">
        <v>1653.3</v>
      </c>
      <c r="Q103" s="44">
        <f t="shared" si="21"/>
        <v>1617.2</v>
      </c>
      <c r="R103" s="44">
        <v>3270.5</v>
      </c>
      <c r="S103" s="44">
        <f t="shared" si="22"/>
        <v>97.30734900327283</v>
      </c>
      <c r="T103" s="44">
        <v>3359.5</v>
      </c>
      <c r="U103" s="44">
        <v>0</v>
      </c>
      <c r="V103" s="44">
        <v>0</v>
      </c>
      <c r="W103" s="44">
        <v>0</v>
      </c>
    </row>
    <row r="104" spans="1:23" s="37" customFormat="1" ht="15.75">
      <c r="A104" s="21">
        <v>10006</v>
      </c>
      <c r="B104" s="20">
        <v>3322</v>
      </c>
      <c r="C104" s="35" t="s">
        <v>89</v>
      </c>
      <c r="D104" s="44">
        <v>0</v>
      </c>
      <c r="E104" s="44">
        <v>0</v>
      </c>
      <c r="F104" s="44">
        <v>0</v>
      </c>
      <c r="G104" s="44">
        <f t="shared" si="16"/>
        <v>0</v>
      </c>
      <c r="H104" s="44">
        <v>0</v>
      </c>
      <c r="I104" s="44">
        <f t="shared" si="17"/>
        <v>0</v>
      </c>
      <c r="J104" s="44">
        <v>0</v>
      </c>
      <c r="K104" s="44">
        <f t="shared" si="18"/>
        <v>0</v>
      </c>
      <c r="L104" s="44">
        <v>0</v>
      </c>
      <c r="M104" s="44">
        <f t="shared" si="23"/>
        <v>0</v>
      </c>
      <c r="N104" s="44">
        <v>0</v>
      </c>
      <c r="O104" s="44">
        <f t="shared" si="20"/>
        <v>0</v>
      </c>
      <c r="P104" s="44">
        <v>0</v>
      </c>
      <c r="Q104" s="44">
        <f t="shared" si="21"/>
        <v>0</v>
      </c>
      <c r="R104" s="44">
        <v>0</v>
      </c>
      <c r="S104" s="44" t="e">
        <f t="shared" si="22"/>
        <v>#DIV/0!</v>
      </c>
      <c r="T104" s="44">
        <v>0</v>
      </c>
      <c r="U104" s="44">
        <v>0</v>
      </c>
      <c r="V104" s="44">
        <v>0</v>
      </c>
      <c r="W104" s="44">
        <v>0</v>
      </c>
    </row>
    <row r="105" spans="1:23" s="37" customFormat="1" ht="15.75">
      <c r="A105" s="21">
        <v>71019</v>
      </c>
      <c r="B105" s="20">
        <v>3322</v>
      </c>
      <c r="C105" s="35" t="s">
        <v>90</v>
      </c>
      <c r="D105" s="44">
        <v>0</v>
      </c>
      <c r="E105" s="44">
        <v>300</v>
      </c>
      <c r="F105" s="44">
        <v>0</v>
      </c>
      <c r="G105" s="44">
        <f t="shared" si="16"/>
        <v>0</v>
      </c>
      <c r="H105" s="44">
        <v>0</v>
      </c>
      <c r="I105" s="44">
        <f t="shared" si="17"/>
        <v>0</v>
      </c>
      <c r="J105" s="44">
        <v>0</v>
      </c>
      <c r="K105" s="44">
        <f t="shared" si="18"/>
        <v>0</v>
      </c>
      <c r="L105" s="44">
        <v>0</v>
      </c>
      <c r="M105" s="44">
        <f t="shared" si="23"/>
        <v>0</v>
      </c>
      <c r="N105" s="44">
        <v>0</v>
      </c>
      <c r="O105" s="44">
        <f t="shared" si="20"/>
        <v>0</v>
      </c>
      <c r="P105" s="44">
        <v>0</v>
      </c>
      <c r="Q105" s="44">
        <f t="shared" si="21"/>
        <v>0</v>
      </c>
      <c r="R105" s="44">
        <v>0</v>
      </c>
      <c r="S105" s="44">
        <f t="shared" si="22"/>
        <v>0</v>
      </c>
      <c r="T105" s="44">
        <v>129.4</v>
      </c>
      <c r="U105" s="44">
        <v>0</v>
      </c>
      <c r="V105" s="44">
        <v>0</v>
      </c>
      <c r="W105" s="44">
        <v>0</v>
      </c>
    </row>
    <row r="106" spans="1:23" s="37" customFormat="1" ht="15.75">
      <c r="A106" s="21">
        <v>81003</v>
      </c>
      <c r="B106" s="20">
        <v>3322</v>
      </c>
      <c r="C106" s="35" t="s">
        <v>91</v>
      </c>
      <c r="D106" s="44">
        <v>0</v>
      </c>
      <c r="E106" s="44">
        <v>5</v>
      </c>
      <c r="F106" s="44">
        <v>0</v>
      </c>
      <c r="G106" s="44">
        <f t="shared" si="16"/>
        <v>3.6</v>
      </c>
      <c r="H106" s="44">
        <v>3.6</v>
      </c>
      <c r="I106" s="44">
        <f t="shared" si="17"/>
        <v>0</v>
      </c>
      <c r="J106" s="44">
        <v>3.6</v>
      </c>
      <c r="K106" s="44">
        <f t="shared" si="18"/>
        <v>0</v>
      </c>
      <c r="L106" s="44">
        <v>3.6</v>
      </c>
      <c r="M106" s="44">
        <f t="shared" si="23"/>
        <v>0</v>
      </c>
      <c r="N106" s="44">
        <v>3.6</v>
      </c>
      <c r="O106" s="44">
        <f t="shared" si="20"/>
        <v>0</v>
      </c>
      <c r="P106" s="44">
        <v>3.6</v>
      </c>
      <c r="Q106" s="44">
        <f t="shared" si="21"/>
        <v>0</v>
      </c>
      <c r="R106" s="44">
        <v>3.6</v>
      </c>
      <c r="S106" s="44">
        <f t="shared" si="22"/>
        <v>72</v>
      </c>
      <c r="T106" s="44">
        <v>360</v>
      </c>
      <c r="U106" s="44">
        <v>0</v>
      </c>
      <c r="V106" s="44">
        <v>0</v>
      </c>
      <c r="W106" s="44">
        <v>0</v>
      </c>
    </row>
    <row r="107" spans="1:23" s="37" customFormat="1" ht="15.75">
      <c r="A107" s="21">
        <v>10001</v>
      </c>
      <c r="B107" s="20">
        <v>3326</v>
      </c>
      <c r="C107" s="35" t="s">
        <v>92</v>
      </c>
      <c r="D107" s="44">
        <v>0</v>
      </c>
      <c r="E107" s="44">
        <v>584</v>
      </c>
      <c r="F107" s="44">
        <v>0</v>
      </c>
      <c r="G107" s="44">
        <f t="shared" si="16"/>
        <v>0</v>
      </c>
      <c r="H107" s="44">
        <v>0</v>
      </c>
      <c r="I107" s="44">
        <f t="shared" si="17"/>
        <v>0</v>
      </c>
      <c r="J107" s="44">
        <v>0</v>
      </c>
      <c r="K107" s="44">
        <f t="shared" si="18"/>
        <v>188.3</v>
      </c>
      <c r="L107" s="44">
        <v>188.3</v>
      </c>
      <c r="M107" s="44">
        <f t="shared" si="23"/>
        <v>18</v>
      </c>
      <c r="N107" s="44">
        <v>206.3</v>
      </c>
      <c r="O107" s="44">
        <f t="shared" si="20"/>
        <v>0</v>
      </c>
      <c r="P107" s="44">
        <v>206.3</v>
      </c>
      <c r="Q107" s="44">
        <f t="shared" si="21"/>
        <v>188.39999999999998</v>
      </c>
      <c r="R107" s="44">
        <v>394.7</v>
      </c>
      <c r="S107" s="44">
        <f t="shared" si="22"/>
        <v>67.58561643835617</v>
      </c>
      <c r="T107" s="44">
        <v>584</v>
      </c>
      <c r="U107" s="44">
        <v>0</v>
      </c>
      <c r="V107" s="44">
        <v>0</v>
      </c>
      <c r="W107" s="44">
        <v>0</v>
      </c>
    </row>
    <row r="108" spans="1:23" s="37" customFormat="1" ht="15.75">
      <c r="A108" s="21">
        <v>81019</v>
      </c>
      <c r="B108" s="20">
        <v>3329</v>
      </c>
      <c r="C108" s="35" t="s">
        <v>93</v>
      </c>
      <c r="D108" s="44">
        <v>0</v>
      </c>
      <c r="E108" s="44">
        <v>6000</v>
      </c>
      <c r="F108" s="44">
        <v>0</v>
      </c>
      <c r="G108" s="44">
        <f t="shared" si="16"/>
        <v>0</v>
      </c>
      <c r="H108" s="44">
        <v>0</v>
      </c>
      <c r="I108" s="44">
        <f t="shared" si="17"/>
        <v>0</v>
      </c>
      <c r="J108" s="44">
        <v>0</v>
      </c>
      <c r="K108" s="44">
        <f t="shared" si="18"/>
        <v>0</v>
      </c>
      <c r="L108" s="44">
        <v>0</v>
      </c>
      <c r="M108" s="44">
        <f t="shared" si="23"/>
        <v>0</v>
      </c>
      <c r="N108" s="44">
        <v>0</v>
      </c>
      <c r="O108" s="44">
        <f t="shared" si="20"/>
        <v>0</v>
      </c>
      <c r="P108" s="44">
        <v>0</v>
      </c>
      <c r="Q108" s="44">
        <f t="shared" si="21"/>
        <v>881.5</v>
      </c>
      <c r="R108" s="44">
        <v>881.5</v>
      </c>
      <c r="S108" s="44">
        <f t="shared" si="22"/>
        <v>14.691666666666666</v>
      </c>
      <c r="T108" s="44">
        <v>6114</v>
      </c>
      <c r="U108" s="44">
        <v>0</v>
      </c>
      <c r="V108" s="44">
        <v>0</v>
      </c>
      <c r="W108" s="44">
        <v>0</v>
      </c>
    </row>
    <row r="109" spans="1:23" s="37" customFormat="1" ht="15.75">
      <c r="A109" s="21">
        <v>10003</v>
      </c>
      <c r="B109" s="20">
        <v>3412</v>
      </c>
      <c r="C109" s="35" t="s">
        <v>94</v>
      </c>
      <c r="D109" s="44">
        <v>0</v>
      </c>
      <c r="E109" s="44">
        <v>4230</v>
      </c>
      <c r="F109" s="44">
        <v>0</v>
      </c>
      <c r="G109" s="44">
        <f t="shared" si="16"/>
        <v>100</v>
      </c>
      <c r="H109" s="44">
        <v>100</v>
      </c>
      <c r="I109" s="44">
        <f t="shared" si="17"/>
        <v>43</v>
      </c>
      <c r="J109" s="44">
        <v>143</v>
      </c>
      <c r="K109" s="44">
        <f t="shared" si="18"/>
        <v>0</v>
      </c>
      <c r="L109" s="44">
        <v>143</v>
      </c>
      <c r="M109" s="44">
        <f t="shared" si="23"/>
        <v>1861.8</v>
      </c>
      <c r="N109" s="44">
        <v>2004.8</v>
      </c>
      <c r="O109" s="44">
        <f t="shared" si="20"/>
        <v>6</v>
      </c>
      <c r="P109" s="44">
        <v>2010.8</v>
      </c>
      <c r="Q109" s="44">
        <f t="shared" si="21"/>
        <v>1146.3999999999999</v>
      </c>
      <c r="R109" s="44">
        <v>3157.2</v>
      </c>
      <c r="S109" s="44">
        <f t="shared" si="22"/>
        <v>74.63829787234042</v>
      </c>
      <c r="T109" s="44">
        <v>4206.84</v>
      </c>
      <c r="U109" s="44">
        <v>0</v>
      </c>
      <c r="V109" s="44">
        <v>0</v>
      </c>
      <c r="W109" s="44">
        <v>0</v>
      </c>
    </row>
    <row r="110" spans="1:23" s="37" customFormat="1" ht="15.75" customHeight="1" hidden="1">
      <c r="A110" s="29"/>
      <c r="B110" s="30"/>
      <c r="C110" s="29"/>
      <c r="D110" s="191"/>
      <c r="E110" s="189"/>
      <c r="F110" s="189"/>
      <c r="G110" s="44">
        <f t="shared" si="16"/>
        <v>0</v>
      </c>
      <c r="H110" s="189"/>
      <c r="I110" s="44">
        <f t="shared" si="17"/>
        <v>0</v>
      </c>
      <c r="J110" s="189"/>
      <c r="K110" s="44">
        <f t="shared" si="18"/>
        <v>0</v>
      </c>
      <c r="L110" s="189"/>
      <c r="M110" s="44">
        <f t="shared" si="23"/>
        <v>0</v>
      </c>
      <c r="N110" s="189"/>
      <c r="O110" s="44">
        <f t="shared" si="20"/>
        <v>0</v>
      </c>
      <c r="P110" s="189"/>
      <c r="Q110" s="44">
        <f t="shared" si="21"/>
        <v>0</v>
      </c>
      <c r="R110" s="189"/>
      <c r="S110" s="44" t="e">
        <f t="shared" si="22"/>
        <v>#DIV/0!</v>
      </c>
      <c r="T110" s="191"/>
      <c r="U110" s="191"/>
      <c r="V110" s="191"/>
      <c r="W110" s="191"/>
    </row>
    <row r="111" spans="1:23" s="37" customFormat="1" ht="15.75" customHeight="1" hidden="1">
      <c r="A111" s="52"/>
      <c r="B111" s="53"/>
      <c r="C111" s="52"/>
      <c r="D111" s="192"/>
      <c r="E111" s="193"/>
      <c r="F111" s="193"/>
      <c r="G111" s="44">
        <f t="shared" si="16"/>
        <v>0</v>
      </c>
      <c r="H111" s="193"/>
      <c r="I111" s="44">
        <f t="shared" si="17"/>
        <v>0</v>
      </c>
      <c r="J111" s="193"/>
      <c r="K111" s="44">
        <f t="shared" si="18"/>
        <v>0</v>
      </c>
      <c r="L111" s="193"/>
      <c r="M111" s="44">
        <f t="shared" si="23"/>
        <v>0</v>
      </c>
      <c r="N111" s="193"/>
      <c r="O111" s="44">
        <f t="shared" si="20"/>
        <v>0</v>
      </c>
      <c r="P111" s="193"/>
      <c r="Q111" s="44">
        <f t="shared" si="21"/>
        <v>0</v>
      </c>
      <c r="R111" s="193"/>
      <c r="S111" s="44" t="e">
        <f t="shared" si="22"/>
        <v>#DIV/0!</v>
      </c>
      <c r="T111" s="192"/>
      <c r="U111" s="192"/>
      <c r="V111" s="192"/>
      <c r="W111" s="192"/>
    </row>
    <row r="112" spans="1:23" s="37" customFormat="1" ht="15.75">
      <c r="A112" s="21">
        <v>10009</v>
      </c>
      <c r="B112" s="54">
        <v>3412</v>
      </c>
      <c r="C112" s="35" t="s">
        <v>95</v>
      </c>
      <c r="D112" s="194">
        <v>0</v>
      </c>
      <c r="E112" s="195">
        <v>2000</v>
      </c>
      <c r="F112" s="44">
        <v>0</v>
      </c>
      <c r="G112" s="44">
        <f t="shared" si="16"/>
        <v>0</v>
      </c>
      <c r="H112" s="44">
        <v>0</v>
      </c>
      <c r="I112" s="44">
        <f t="shared" si="17"/>
        <v>0</v>
      </c>
      <c r="J112" s="44">
        <v>0</v>
      </c>
      <c r="K112" s="44">
        <f t="shared" si="18"/>
        <v>0</v>
      </c>
      <c r="L112" s="44">
        <v>0</v>
      </c>
      <c r="M112" s="44">
        <f t="shared" si="23"/>
        <v>0</v>
      </c>
      <c r="N112" s="44">
        <v>0</v>
      </c>
      <c r="O112" s="44">
        <f t="shared" si="20"/>
        <v>1703.8</v>
      </c>
      <c r="P112" s="44">
        <v>1703.8</v>
      </c>
      <c r="Q112" s="44">
        <f t="shared" si="21"/>
        <v>29.40000000000009</v>
      </c>
      <c r="R112" s="44">
        <v>1733.2</v>
      </c>
      <c r="S112" s="44">
        <f t="shared" si="22"/>
        <v>86.66</v>
      </c>
      <c r="T112" s="194">
        <v>1832</v>
      </c>
      <c r="U112" s="194">
        <v>0</v>
      </c>
      <c r="V112" s="194">
        <v>0</v>
      </c>
      <c r="W112" s="44">
        <v>0</v>
      </c>
    </row>
    <row r="113" spans="1:23" s="37" customFormat="1" ht="15.75">
      <c r="A113" s="21">
        <v>71009</v>
      </c>
      <c r="B113" s="20">
        <v>3412</v>
      </c>
      <c r="C113" s="47" t="s">
        <v>96</v>
      </c>
      <c r="D113" s="44">
        <f>616+7165</f>
        <v>7781</v>
      </c>
      <c r="E113" s="44">
        <f>2067+6631</f>
        <v>8698</v>
      </c>
      <c r="F113" s="44">
        <f>1.1+3583.6</f>
        <v>3584.7</v>
      </c>
      <c r="G113" s="44">
        <f t="shared" si="16"/>
        <v>0</v>
      </c>
      <c r="H113" s="44">
        <f>1.1+3583.6</f>
        <v>3584.7</v>
      </c>
      <c r="I113" s="44">
        <f t="shared" si="17"/>
        <v>1458.4000000000005</v>
      </c>
      <c r="J113" s="44">
        <f>2084.6+2958.5</f>
        <v>5043.1</v>
      </c>
      <c r="K113" s="44">
        <f t="shared" si="18"/>
        <v>2712.8999999999996</v>
      </c>
      <c r="L113" s="44">
        <f>2083.6+5672.4</f>
        <v>7756</v>
      </c>
      <c r="M113" s="44">
        <f t="shared" si="23"/>
        <v>977.2000000000007</v>
      </c>
      <c r="N113" s="44">
        <f>2107.5+6625.7</f>
        <v>8733.2</v>
      </c>
      <c r="O113" s="44">
        <f t="shared" si="20"/>
        <v>6.099999999998545</v>
      </c>
      <c r="P113" s="44">
        <f>2107.5+6631.8</f>
        <v>8739.3</v>
      </c>
      <c r="Q113" s="44">
        <f t="shared" si="21"/>
        <v>0</v>
      </c>
      <c r="R113" s="44">
        <f>2107.5+6631.8</f>
        <v>8739.3</v>
      </c>
      <c r="S113" s="44">
        <f t="shared" si="22"/>
        <v>100.4748217981145</v>
      </c>
      <c r="T113" s="44">
        <v>8739.3</v>
      </c>
      <c r="U113" s="44">
        <v>0</v>
      </c>
      <c r="V113" s="44">
        <v>0</v>
      </c>
      <c r="W113" s="44">
        <v>0</v>
      </c>
    </row>
    <row r="114" spans="1:23" s="37" customFormat="1" ht="15.75">
      <c r="A114" s="21">
        <v>71009</v>
      </c>
      <c r="B114" s="20">
        <v>3412</v>
      </c>
      <c r="C114" s="47" t="s">
        <v>97</v>
      </c>
      <c r="D114" s="44">
        <f>1357+15362</f>
        <v>16719</v>
      </c>
      <c r="E114" s="44">
        <f>1357+15362</f>
        <v>16719</v>
      </c>
      <c r="F114" s="44">
        <f>678.5+7683.2</f>
        <v>8361.7</v>
      </c>
      <c r="G114" s="44">
        <f t="shared" si="16"/>
        <v>0</v>
      </c>
      <c r="H114" s="44">
        <f>678.5+7683.2</f>
        <v>8361.7</v>
      </c>
      <c r="I114" s="44">
        <f t="shared" si="17"/>
        <v>-1458.6000000000004</v>
      </c>
      <c r="J114" s="44">
        <f>560.1+6343</f>
        <v>6903.1</v>
      </c>
      <c r="K114" s="44">
        <f t="shared" si="18"/>
        <v>6332.4</v>
      </c>
      <c r="L114" s="44">
        <f>1073.9+12161.6</f>
        <v>13235.5</v>
      </c>
      <c r="M114" s="44">
        <f t="shared" si="23"/>
        <v>2224.3999999999996</v>
      </c>
      <c r="N114" s="44">
        <f>1254.5+14205.4</f>
        <v>15459.9</v>
      </c>
      <c r="O114" s="44">
        <f t="shared" si="20"/>
        <v>14.200000000000728</v>
      </c>
      <c r="P114" s="44">
        <f>1255.6+14218.5</f>
        <v>15474.1</v>
      </c>
      <c r="Q114" s="44">
        <f t="shared" si="21"/>
        <v>0</v>
      </c>
      <c r="R114" s="44">
        <f>1255.6+14218.5</f>
        <v>15474.1</v>
      </c>
      <c r="S114" s="44">
        <f t="shared" si="22"/>
        <v>92.55398050122615</v>
      </c>
      <c r="T114" s="44">
        <v>15474.1</v>
      </c>
      <c r="U114" s="44">
        <v>0</v>
      </c>
      <c r="V114" s="44">
        <v>0</v>
      </c>
      <c r="W114" s="44">
        <v>0</v>
      </c>
    </row>
    <row r="115" spans="1:23" s="37" customFormat="1" ht="15.75">
      <c r="A115" s="21">
        <v>81002</v>
      </c>
      <c r="B115" s="20">
        <v>3412</v>
      </c>
      <c r="C115" s="47" t="s">
        <v>98</v>
      </c>
      <c r="D115" s="44">
        <v>0</v>
      </c>
      <c r="E115" s="44">
        <v>89</v>
      </c>
      <c r="F115" s="44">
        <v>0</v>
      </c>
      <c r="G115" s="44">
        <f t="shared" si="16"/>
        <v>88.3</v>
      </c>
      <c r="H115" s="44">
        <v>88.3</v>
      </c>
      <c r="I115" s="44">
        <f t="shared" si="17"/>
        <v>0</v>
      </c>
      <c r="J115" s="44">
        <v>88.3</v>
      </c>
      <c r="K115" s="44">
        <f t="shared" si="18"/>
        <v>0</v>
      </c>
      <c r="L115" s="44">
        <v>88.3</v>
      </c>
      <c r="M115" s="44">
        <f t="shared" si="23"/>
        <v>0</v>
      </c>
      <c r="N115" s="44">
        <v>88.3</v>
      </c>
      <c r="O115" s="44">
        <f t="shared" si="20"/>
        <v>0</v>
      </c>
      <c r="P115" s="44">
        <v>88.3</v>
      </c>
      <c r="Q115" s="44">
        <f t="shared" si="21"/>
        <v>0</v>
      </c>
      <c r="R115" s="44">
        <v>88.3</v>
      </c>
      <c r="S115" s="44">
        <f t="shared" si="22"/>
        <v>99.21348314606742</v>
      </c>
      <c r="T115" s="44">
        <v>88.3</v>
      </c>
      <c r="U115" s="44">
        <v>0</v>
      </c>
      <c r="V115" s="44">
        <v>0</v>
      </c>
      <c r="W115" s="44">
        <v>0</v>
      </c>
    </row>
    <row r="116" spans="1:23" s="37" customFormat="1" ht="15.75">
      <c r="A116" s="21">
        <v>81016</v>
      </c>
      <c r="B116" s="20">
        <v>3421</v>
      </c>
      <c r="C116" s="47" t="s">
        <v>99</v>
      </c>
      <c r="D116" s="44">
        <v>2000</v>
      </c>
      <c r="E116" s="44">
        <v>3213.1</v>
      </c>
      <c r="F116" s="44">
        <v>159.9</v>
      </c>
      <c r="G116" s="44">
        <f t="shared" si="16"/>
        <v>0</v>
      </c>
      <c r="H116" s="44">
        <v>159.9</v>
      </c>
      <c r="I116" s="44">
        <f t="shared" si="17"/>
        <v>69.19999999999999</v>
      </c>
      <c r="J116" s="44">
        <v>229.1</v>
      </c>
      <c r="K116" s="44">
        <f t="shared" si="18"/>
        <v>7.200000000000017</v>
      </c>
      <c r="L116" s="44">
        <v>236.3</v>
      </c>
      <c r="M116" s="44">
        <f t="shared" si="23"/>
        <v>7.199999999999989</v>
      </c>
      <c r="N116" s="44">
        <v>243.5</v>
      </c>
      <c r="O116" s="44">
        <f t="shared" si="20"/>
        <v>1211.4</v>
      </c>
      <c r="P116" s="44">
        <v>1454.9</v>
      </c>
      <c r="Q116" s="44">
        <f t="shared" si="21"/>
        <v>1639.5</v>
      </c>
      <c r="R116" s="44">
        <v>3094.4</v>
      </c>
      <c r="S116" s="44">
        <f t="shared" si="22"/>
        <v>96.30574834272198</v>
      </c>
      <c r="T116" s="44">
        <v>3213.1</v>
      </c>
      <c r="U116" s="44">
        <v>0</v>
      </c>
      <c r="V116" s="44">
        <v>0</v>
      </c>
      <c r="W116" s="44">
        <v>0</v>
      </c>
    </row>
    <row r="117" spans="1:23" s="37" customFormat="1" ht="15.75">
      <c r="A117" s="21">
        <v>10004</v>
      </c>
      <c r="B117" s="20">
        <v>3612</v>
      </c>
      <c r="C117" s="35" t="s">
        <v>100</v>
      </c>
      <c r="D117" s="44">
        <v>0</v>
      </c>
      <c r="E117" s="44">
        <v>500</v>
      </c>
      <c r="F117" s="44">
        <v>0</v>
      </c>
      <c r="G117" s="44">
        <f t="shared" si="16"/>
        <v>0</v>
      </c>
      <c r="H117" s="44">
        <v>0</v>
      </c>
      <c r="I117" s="44">
        <f t="shared" si="17"/>
        <v>0</v>
      </c>
      <c r="J117" s="44">
        <v>0</v>
      </c>
      <c r="K117" s="44">
        <f t="shared" si="18"/>
        <v>23.4</v>
      </c>
      <c r="L117" s="44">
        <v>23.4</v>
      </c>
      <c r="M117" s="44">
        <f t="shared" si="23"/>
        <v>0</v>
      </c>
      <c r="N117" s="44">
        <v>23.4</v>
      </c>
      <c r="O117" s="44">
        <f t="shared" si="20"/>
        <v>0</v>
      </c>
      <c r="P117" s="44">
        <v>23.4</v>
      </c>
      <c r="Q117" s="44">
        <f t="shared" si="21"/>
        <v>391.20000000000005</v>
      </c>
      <c r="R117" s="44">
        <v>414.6</v>
      </c>
      <c r="S117" s="44">
        <f t="shared" si="22"/>
        <v>82.92</v>
      </c>
      <c r="T117" s="44">
        <v>500</v>
      </c>
      <c r="U117" s="44">
        <v>0</v>
      </c>
      <c r="V117" s="44">
        <v>0</v>
      </c>
      <c r="W117" s="44">
        <v>0</v>
      </c>
    </row>
    <row r="118" spans="1:23" s="37" customFormat="1" ht="15.75">
      <c r="A118" s="21">
        <v>10015</v>
      </c>
      <c r="B118" s="20">
        <v>3612</v>
      </c>
      <c r="C118" s="35" t="s">
        <v>101</v>
      </c>
      <c r="D118" s="44">
        <v>0</v>
      </c>
      <c r="E118" s="44">
        <v>2560</v>
      </c>
      <c r="F118" s="44">
        <v>0</v>
      </c>
      <c r="G118" s="44">
        <f t="shared" si="16"/>
        <v>0</v>
      </c>
      <c r="H118" s="44">
        <v>0</v>
      </c>
      <c r="I118" s="44">
        <f t="shared" si="17"/>
        <v>0</v>
      </c>
      <c r="J118" s="44">
        <v>0</v>
      </c>
      <c r="K118" s="44">
        <f t="shared" si="18"/>
        <v>0</v>
      </c>
      <c r="L118" s="44">
        <v>0</v>
      </c>
      <c r="M118" s="44">
        <f t="shared" si="23"/>
        <v>0</v>
      </c>
      <c r="N118" s="44">
        <v>0</v>
      </c>
      <c r="O118" s="44">
        <f t="shared" si="20"/>
        <v>79.3</v>
      </c>
      <c r="P118" s="44">
        <v>79.3</v>
      </c>
      <c r="Q118" s="44">
        <f t="shared" si="21"/>
        <v>1000</v>
      </c>
      <c r="R118" s="44">
        <v>1079.3</v>
      </c>
      <c r="S118" s="44">
        <f t="shared" si="22"/>
        <v>42.16015625</v>
      </c>
      <c r="T118" s="44">
        <v>2810.6</v>
      </c>
      <c r="U118" s="44">
        <v>0</v>
      </c>
      <c r="V118" s="44">
        <v>0</v>
      </c>
      <c r="W118" s="44">
        <v>0</v>
      </c>
    </row>
    <row r="119" spans="1:23" s="37" customFormat="1" ht="15.75">
      <c r="A119" s="21">
        <v>10008</v>
      </c>
      <c r="B119" s="20">
        <v>3613</v>
      </c>
      <c r="C119" s="47" t="s">
        <v>102</v>
      </c>
      <c r="D119" s="44">
        <v>0</v>
      </c>
      <c r="E119" s="44">
        <v>4000</v>
      </c>
      <c r="F119" s="44">
        <v>0</v>
      </c>
      <c r="G119" s="44">
        <f t="shared" si="16"/>
        <v>0</v>
      </c>
      <c r="H119" s="44">
        <v>0</v>
      </c>
      <c r="I119" s="44">
        <f t="shared" si="17"/>
        <v>1988.3</v>
      </c>
      <c r="J119" s="44">
        <v>1988.3</v>
      </c>
      <c r="K119" s="44">
        <f t="shared" si="18"/>
        <v>0</v>
      </c>
      <c r="L119" s="44">
        <v>1988.3</v>
      </c>
      <c r="M119" s="44">
        <f t="shared" si="23"/>
        <v>1988.2</v>
      </c>
      <c r="N119" s="44">
        <v>3976.5</v>
      </c>
      <c r="O119" s="44">
        <f t="shared" si="20"/>
        <v>0</v>
      </c>
      <c r="P119" s="44">
        <v>3976.5</v>
      </c>
      <c r="Q119" s="44">
        <f t="shared" si="21"/>
        <v>0</v>
      </c>
      <c r="R119" s="44">
        <v>3976.5</v>
      </c>
      <c r="S119" s="44">
        <f t="shared" si="22"/>
        <v>99.41250000000001</v>
      </c>
      <c r="T119" s="44">
        <v>3976.5</v>
      </c>
      <c r="U119" s="44">
        <v>0</v>
      </c>
      <c r="V119" s="44">
        <v>0</v>
      </c>
      <c r="W119" s="44">
        <v>0</v>
      </c>
    </row>
    <row r="120" spans="1:23" s="37" customFormat="1" ht="15.75">
      <c r="A120" s="21">
        <v>10013</v>
      </c>
      <c r="B120" s="20">
        <v>3631</v>
      </c>
      <c r="C120" s="47" t="s">
        <v>103</v>
      </c>
      <c r="D120" s="44">
        <v>0</v>
      </c>
      <c r="E120" s="44">
        <v>1290</v>
      </c>
      <c r="F120" s="44">
        <v>0</v>
      </c>
      <c r="G120" s="44">
        <f t="shared" si="16"/>
        <v>0</v>
      </c>
      <c r="H120" s="44">
        <v>0</v>
      </c>
      <c r="I120" s="44">
        <f t="shared" si="17"/>
        <v>0</v>
      </c>
      <c r="J120" s="44">
        <v>0</v>
      </c>
      <c r="K120" s="44">
        <f t="shared" si="18"/>
        <v>0</v>
      </c>
      <c r="L120" s="44">
        <v>0</v>
      </c>
      <c r="M120" s="44">
        <f>N120-L120</f>
        <v>0</v>
      </c>
      <c r="N120" s="44">
        <v>0</v>
      </c>
      <c r="O120" s="44">
        <f>P120-N120</f>
        <v>0</v>
      </c>
      <c r="P120" s="44">
        <v>0</v>
      </c>
      <c r="Q120" s="44">
        <f>R120-P120</f>
        <v>73.8</v>
      </c>
      <c r="R120" s="44">
        <v>73.8</v>
      </c>
      <c r="S120" s="44">
        <f t="shared" si="22"/>
        <v>5.720930232558139</v>
      </c>
      <c r="T120" s="44">
        <v>1320.97</v>
      </c>
      <c r="U120" s="44">
        <v>0</v>
      </c>
      <c r="V120" s="44">
        <v>0</v>
      </c>
      <c r="W120" s="44">
        <v>0</v>
      </c>
    </row>
    <row r="121" spans="1:23" s="37" customFormat="1" ht="15.75">
      <c r="A121" s="21">
        <v>10014</v>
      </c>
      <c r="B121" s="20">
        <v>3631</v>
      </c>
      <c r="C121" s="47" t="s">
        <v>72</v>
      </c>
      <c r="D121" s="44">
        <v>0</v>
      </c>
      <c r="E121" s="44">
        <v>0</v>
      </c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>
        <v>4</v>
      </c>
      <c r="S121" s="44" t="e">
        <f t="shared" si="22"/>
        <v>#DIV/0!</v>
      </c>
      <c r="T121" s="44">
        <v>0</v>
      </c>
      <c r="U121" s="44">
        <v>0</v>
      </c>
      <c r="V121" s="44">
        <v>0</v>
      </c>
      <c r="W121" s="44">
        <v>0</v>
      </c>
    </row>
    <row r="122" spans="1:23" s="37" customFormat="1" ht="15.75">
      <c r="A122" s="21">
        <v>10010</v>
      </c>
      <c r="B122" s="20">
        <v>3632</v>
      </c>
      <c r="C122" s="47" t="s">
        <v>104</v>
      </c>
      <c r="D122" s="44">
        <v>0</v>
      </c>
      <c r="E122" s="44">
        <v>120</v>
      </c>
      <c r="F122" s="44">
        <v>0</v>
      </c>
      <c r="G122" s="44">
        <f aca="true" t="shared" si="24" ref="G122:G131">H122-F122</f>
        <v>0</v>
      </c>
      <c r="H122" s="44">
        <v>0</v>
      </c>
      <c r="I122" s="44">
        <f aca="true" t="shared" si="25" ref="I122:I131">J122-H122</f>
        <v>0</v>
      </c>
      <c r="J122" s="44">
        <v>0</v>
      </c>
      <c r="K122" s="44">
        <f aca="true" t="shared" si="26" ref="K122:K131">L122-J122</f>
        <v>0</v>
      </c>
      <c r="L122" s="44">
        <v>0</v>
      </c>
      <c r="M122" s="44">
        <f aca="true" t="shared" si="27" ref="M122:M131">N122-L122</f>
        <v>60</v>
      </c>
      <c r="N122" s="44">
        <v>60</v>
      </c>
      <c r="O122" s="44">
        <f aca="true" t="shared" si="28" ref="O122:O131">P122-N122</f>
        <v>60</v>
      </c>
      <c r="P122" s="44">
        <v>120</v>
      </c>
      <c r="Q122" s="44">
        <f aca="true" t="shared" si="29" ref="Q122:Q131">R122-P122</f>
        <v>0</v>
      </c>
      <c r="R122" s="44">
        <v>120</v>
      </c>
      <c r="S122" s="44">
        <f t="shared" si="22"/>
        <v>100</v>
      </c>
      <c r="T122" s="44">
        <v>120</v>
      </c>
      <c r="U122" s="44">
        <v>0</v>
      </c>
      <c r="V122" s="44">
        <v>0</v>
      </c>
      <c r="W122" s="44">
        <v>0</v>
      </c>
    </row>
    <row r="123" spans="1:23" s="37" customFormat="1" ht="15.75">
      <c r="A123" s="21">
        <v>10011</v>
      </c>
      <c r="B123" s="20">
        <v>3632</v>
      </c>
      <c r="C123" s="47" t="s">
        <v>105</v>
      </c>
      <c r="D123" s="44">
        <v>0</v>
      </c>
      <c r="E123" s="44">
        <v>360</v>
      </c>
      <c r="F123" s="44">
        <v>0</v>
      </c>
      <c r="G123" s="44">
        <f t="shared" si="24"/>
        <v>0</v>
      </c>
      <c r="H123" s="44">
        <v>0</v>
      </c>
      <c r="I123" s="44">
        <f t="shared" si="25"/>
        <v>0</v>
      </c>
      <c r="J123" s="44">
        <v>0</v>
      </c>
      <c r="K123" s="44">
        <f t="shared" si="26"/>
        <v>0</v>
      </c>
      <c r="L123" s="44">
        <v>0</v>
      </c>
      <c r="M123" s="44">
        <f t="shared" si="27"/>
        <v>0</v>
      </c>
      <c r="N123" s="44">
        <v>0</v>
      </c>
      <c r="O123" s="44">
        <f t="shared" si="28"/>
        <v>0</v>
      </c>
      <c r="P123" s="44">
        <v>0</v>
      </c>
      <c r="Q123" s="44">
        <f t="shared" si="29"/>
        <v>0</v>
      </c>
      <c r="R123" s="44">
        <v>0</v>
      </c>
      <c r="S123" s="44">
        <f t="shared" si="22"/>
        <v>0</v>
      </c>
      <c r="T123" s="44">
        <v>0</v>
      </c>
      <c r="U123" s="44">
        <v>0</v>
      </c>
      <c r="V123" s="44">
        <v>0</v>
      </c>
      <c r="W123" s="44">
        <v>0</v>
      </c>
    </row>
    <row r="124" spans="1:23" s="37" customFormat="1" ht="15.75">
      <c r="A124" s="21">
        <v>10012</v>
      </c>
      <c r="B124" s="20">
        <v>3632</v>
      </c>
      <c r="C124" s="47" t="s">
        <v>106</v>
      </c>
      <c r="D124" s="44">
        <v>0</v>
      </c>
      <c r="E124" s="44">
        <v>120</v>
      </c>
      <c r="F124" s="44">
        <v>0</v>
      </c>
      <c r="G124" s="44">
        <f t="shared" si="24"/>
        <v>0</v>
      </c>
      <c r="H124" s="44">
        <v>0</v>
      </c>
      <c r="I124" s="44">
        <f t="shared" si="25"/>
        <v>0</v>
      </c>
      <c r="J124" s="44">
        <v>0</v>
      </c>
      <c r="K124" s="44">
        <f t="shared" si="26"/>
        <v>0</v>
      </c>
      <c r="L124" s="44">
        <v>0</v>
      </c>
      <c r="M124" s="44">
        <f t="shared" si="27"/>
        <v>0</v>
      </c>
      <c r="N124" s="44">
        <v>0</v>
      </c>
      <c r="O124" s="44">
        <f t="shared" si="28"/>
        <v>360</v>
      </c>
      <c r="P124" s="44">
        <v>360</v>
      </c>
      <c r="Q124" s="44">
        <f t="shared" si="29"/>
        <v>0</v>
      </c>
      <c r="R124" s="44">
        <v>360</v>
      </c>
      <c r="S124" s="44">
        <f t="shared" si="22"/>
        <v>300</v>
      </c>
      <c r="T124" s="44">
        <v>360</v>
      </c>
      <c r="U124" s="44">
        <v>0</v>
      </c>
      <c r="V124" s="44">
        <v>0</v>
      </c>
      <c r="W124" s="44">
        <v>0</v>
      </c>
    </row>
    <row r="125" spans="1:23" s="37" customFormat="1" ht="15.75" customHeight="1">
      <c r="A125" s="21">
        <v>91004</v>
      </c>
      <c r="B125" s="20">
        <v>3632</v>
      </c>
      <c r="C125" s="47" t="s">
        <v>107</v>
      </c>
      <c r="D125" s="44">
        <v>0</v>
      </c>
      <c r="E125" s="44">
        <v>2022</v>
      </c>
      <c r="F125" s="44">
        <v>0</v>
      </c>
      <c r="G125" s="44">
        <f t="shared" si="24"/>
        <v>874</v>
      </c>
      <c r="H125" s="44">
        <v>874</v>
      </c>
      <c r="I125" s="44">
        <f t="shared" si="25"/>
        <v>7.2000000000000455</v>
      </c>
      <c r="J125" s="44">
        <v>881.2</v>
      </c>
      <c r="K125" s="44">
        <f t="shared" si="26"/>
        <v>7.199999999999932</v>
      </c>
      <c r="L125" s="44">
        <v>888.4</v>
      </c>
      <c r="M125" s="44">
        <f t="shared" si="27"/>
        <v>1117</v>
      </c>
      <c r="N125" s="44">
        <v>2005.4</v>
      </c>
      <c r="O125" s="44">
        <f t="shared" si="28"/>
        <v>6</v>
      </c>
      <c r="P125" s="44">
        <v>2011.4</v>
      </c>
      <c r="Q125" s="44">
        <f t="shared" si="29"/>
        <v>0</v>
      </c>
      <c r="R125" s="44">
        <v>2011.4</v>
      </c>
      <c r="S125" s="44">
        <f t="shared" si="22"/>
        <v>99.4757665677547</v>
      </c>
      <c r="T125" s="44">
        <v>2011.4</v>
      </c>
      <c r="U125" s="44">
        <v>0</v>
      </c>
      <c r="V125" s="44">
        <v>0</v>
      </c>
      <c r="W125" s="44">
        <v>0</v>
      </c>
    </row>
    <row r="126" spans="1:23" s="37" customFormat="1" ht="15.75" customHeight="1" hidden="1">
      <c r="A126" s="21">
        <v>71014</v>
      </c>
      <c r="B126" s="20">
        <v>3412</v>
      </c>
      <c r="C126" s="47" t="s">
        <v>108</v>
      </c>
      <c r="D126" s="44">
        <v>0</v>
      </c>
      <c r="E126" s="44">
        <v>0</v>
      </c>
      <c r="F126" s="44"/>
      <c r="G126" s="44">
        <f t="shared" si="24"/>
        <v>0</v>
      </c>
      <c r="H126" s="44"/>
      <c r="I126" s="44">
        <f t="shared" si="25"/>
        <v>0</v>
      </c>
      <c r="J126" s="44"/>
      <c r="K126" s="44">
        <f t="shared" si="26"/>
        <v>0</v>
      </c>
      <c r="L126" s="44"/>
      <c r="M126" s="44">
        <f t="shared" si="27"/>
        <v>0</v>
      </c>
      <c r="N126" s="44"/>
      <c r="O126" s="44">
        <f t="shared" si="28"/>
        <v>0</v>
      </c>
      <c r="P126" s="44"/>
      <c r="Q126" s="44">
        <f t="shared" si="29"/>
        <v>0</v>
      </c>
      <c r="R126" s="44"/>
      <c r="S126" s="44" t="e">
        <f t="shared" si="22"/>
        <v>#DIV/0!</v>
      </c>
      <c r="T126" s="44"/>
      <c r="U126" s="44"/>
      <c r="V126" s="44"/>
      <c r="W126" s="44"/>
    </row>
    <row r="127" spans="1:23" s="37" customFormat="1" ht="15.75" customHeight="1" hidden="1">
      <c r="A127" s="29"/>
      <c r="B127" s="30"/>
      <c r="C127" s="55"/>
      <c r="D127" s="191"/>
      <c r="E127" s="191"/>
      <c r="F127" s="191"/>
      <c r="G127" s="44">
        <f t="shared" si="24"/>
        <v>0</v>
      </c>
      <c r="H127" s="191"/>
      <c r="I127" s="44">
        <f t="shared" si="25"/>
        <v>0</v>
      </c>
      <c r="J127" s="191"/>
      <c r="K127" s="44">
        <f t="shared" si="26"/>
        <v>0</v>
      </c>
      <c r="L127" s="191"/>
      <c r="M127" s="44">
        <f t="shared" si="27"/>
        <v>0</v>
      </c>
      <c r="N127" s="191"/>
      <c r="O127" s="44">
        <f t="shared" si="28"/>
        <v>0</v>
      </c>
      <c r="P127" s="191"/>
      <c r="Q127" s="44">
        <f t="shared" si="29"/>
        <v>0</v>
      </c>
      <c r="R127" s="191"/>
      <c r="S127" s="44" t="e">
        <f t="shared" si="22"/>
        <v>#DIV/0!</v>
      </c>
      <c r="T127" s="191"/>
      <c r="U127" s="191"/>
      <c r="V127" s="191"/>
      <c r="W127" s="191"/>
    </row>
    <row r="128" spans="1:23" s="37" customFormat="1" ht="15.75" customHeight="1" hidden="1">
      <c r="A128" s="29"/>
      <c r="B128" s="30"/>
      <c r="C128" s="55"/>
      <c r="D128" s="191"/>
      <c r="E128" s="191"/>
      <c r="F128" s="191"/>
      <c r="G128" s="44">
        <f t="shared" si="24"/>
        <v>0</v>
      </c>
      <c r="H128" s="191"/>
      <c r="I128" s="44">
        <f t="shared" si="25"/>
        <v>0</v>
      </c>
      <c r="J128" s="191"/>
      <c r="K128" s="44">
        <f t="shared" si="26"/>
        <v>0</v>
      </c>
      <c r="L128" s="191"/>
      <c r="M128" s="44">
        <f t="shared" si="27"/>
        <v>0</v>
      </c>
      <c r="N128" s="191"/>
      <c r="O128" s="44">
        <f t="shared" si="28"/>
        <v>0</v>
      </c>
      <c r="P128" s="191"/>
      <c r="Q128" s="44">
        <f t="shared" si="29"/>
        <v>0</v>
      </c>
      <c r="R128" s="191"/>
      <c r="S128" s="44" t="e">
        <f t="shared" si="22"/>
        <v>#DIV/0!</v>
      </c>
      <c r="T128" s="191"/>
      <c r="U128" s="191"/>
      <c r="V128" s="191"/>
      <c r="W128" s="191"/>
    </row>
    <row r="129" spans="1:23" s="37" customFormat="1" ht="15.75">
      <c r="A129" s="21">
        <v>10005</v>
      </c>
      <c r="B129" s="20">
        <v>3745</v>
      </c>
      <c r="C129" s="47" t="s">
        <v>109</v>
      </c>
      <c r="D129" s="44">
        <v>0</v>
      </c>
      <c r="E129" s="44">
        <v>5700</v>
      </c>
      <c r="F129" s="44">
        <v>0</v>
      </c>
      <c r="G129" s="44">
        <f t="shared" si="24"/>
        <v>0</v>
      </c>
      <c r="H129" s="44">
        <v>0</v>
      </c>
      <c r="I129" s="44">
        <f t="shared" si="25"/>
        <v>0</v>
      </c>
      <c r="J129" s="44">
        <v>0</v>
      </c>
      <c r="K129" s="44">
        <f t="shared" si="26"/>
        <v>180</v>
      </c>
      <c r="L129" s="44">
        <v>180</v>
      </c>
      <c r="M129" s="44">
        <f t="shared" si="27"/>
        <v>252</v>
      </c>
      <c r="N129" s="44">
        <v>432</v>
      </c>
      <c r="O129" s="44">
        <f t="shared" si="28"/>
        <v>0</v>
      </c>
      <c r="P129" s="44">
        <v>432</v>
      </c>
      <c r="Q129" s="44">
        <f t="shared" si="29"/>
        <v>1764.1</v>
      </c>
      <c r="R129" s="44">
        <v>2196.1</v>
      </c>
      <c r="S129" s="44">
        <f t="shared" si="22"/>
        <v>38.52807017543859</v>
      </c>
      <c r="T129" s="44">
        <v>5956.13</v>
      </c>
      <c r="U129" s="44">
        <v>0</v>
      </c>
      <c r="V129" s="44">
        <v>0</v>
      </c>
      <c r="W129" s="44">
        <v>0</v>
      </c>
    </row>
    <row r="130" spans="1:23" s="37" customFormat="1" ht="15.75">
      <c r="A130" s="21">
        <v>81012</v>
      </c>
      <c r="B130" s="20">
        <v>4357</v>
      </c>
      <c r="C130" s="35" t="s">
        <v>110</v>
      </c>
      <c r="D130" s="44">
        <v>0</v>
      </c>
      <c r="E130" s="44">
        <v>200</v>
      </c>
      <c r="F130" s="44">
        <v>128.4</v>
      </c>
      <c r="G130" s="44">
        <f t="shared" si="24"/>
        <v>0</v>
      </c>
      <c r="H130" s="44">
        <v>128.4</v>
      </c>
      <c r="I130" s="44">
        <f t="shared" si="25"/>
        <v>0</v>
      </c>
      <c r="J130" s="44">
        <v>128.4</v>
      </c>
      <c r="K130" s="44">
        <f t="shared" si="26"/>
        <v>0</v>
      </c>
      <c r="L130" s="44">
        <v>128.4</v>
      </c>
      <c r="M130" s="44">
        <f t="shared" si="27"/>
        <v>0</v>
      </c>
      <c r="N130" s="44">
        <v>128.4</v>
      </c>
      <c r="O130" s="44">
        <f t="shared" si="28"/>
        <v>0</v>
      </c>
      <c r="P130" s="44">
        <v>128.4</v>
      </c>
      <c r="Q130" s="44">
        <f t="shared" si="29"/>
        <v>0</v>
      </c>
      <c r="R130" s="44">
        <v>128.4</v>
      </c>
      <c r="S130" s="44">
        <f t="shared" si="22"/>
        <v>64.2</v>
      </c>
      <c r="T130" s="44">
        <v>158.4</v>
      </c>
      <c r="U130" s="44">
        <f>26387+613</f>
        <v>27000</v>
      </c>
      <c r="V130" s="44">
        <v>0</v>
      </c>
      <c r="W130" s="44">
        <v>0</v>
      </c>
    </row>
    <row r="131" spans="1:23" s="37" customFormat="1" ht="15.75">
      <c r="A131" s="21">
        <v>71024</v>
      </c>
      <c r="B131" s="20">
        <v>6171</v>
      </c>
      <c r="C131" s="35" t="s">
        <v>111</v>
      </c>
      <c r="D131" s="44">
        <v>0</v>
      </c>
      <c r="E131" s="44">
        <v>7245</v>
      </c>
      <c r="F131" s="44">
        <v>49.2</v>
      </c>
      <c r="G131" s="44">
        <f t="shared" si="24"/>
        <v>0</v>
      </c>
      <c r="H131" s="44">
        <v>49.2</v>
      </c>
      <c r="I131" s="44">
        <f t="shared" si="25"/>
        <v>0</v>
      </c>
      <c r="J131" s="44">
        <v>49.2</v>
      </c>
      <c r="K131" s="44">
        <f t="shared" si="26"/>
        <v>0</v>
      </c>
      <c r="L131" s="44">
        <v>49.2</v>
      </c>
      <c r="M131" s="44">
        <f t="shared" si="27"/>
        <v>0</v>
      </c>
      <c r="N131" s="44">
        <v>49.2</v>
      </c>
      <c r="O131" s="44">
        <f t="shared" si="28"/>
        <v>80.99999999999999</v>
      </c>
      <c r="P131" s="44">
        <v>130.2</v>
      </c>
      <c r="Q131" s="44">
        <f t="shared" si="29"/>
        <v>0</v>
      </c>
      <c r="R131" s="44">
        <v>130.2</v>
      </c>
      <c r="S131" s="44">
        <f t="shared" si="22"/>
        <v>1.7971014492753623</v>
      </c>
      <c r="T131" s="44">
        <v>190.2</v>
      </c>
      <c r="U131" s="44">
        <v>24000</v>
      </c>
      <c r="V131" s="44">
        <v>0</v>
      </c>
      <c r="W131" s="44">
        <v>0</v>
      </c>
    </row>
    <row r="132" spans="1:23" s="37" customFormat="1" ht="15.75" customHeight="1" hidden="1">
      <c r="A132" s="21"/>
      <c r="B132" s="20"/>
      <c r="C132" s="47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</row>
    <row r="133" spans="1:23" s="37" customFormat="1" ht="15.75" customHeight="1" hidden="1">
      <c r="A133" s="21"/>
      <c r="B133" s="20"/>
      <c r="C133" s="47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</row>
    <row r="134" spans="1:23" s="37" customFormat="1" ht="15.75" customHeight="1" hidden="1">
      <c r="A134" s="21"/>
      <c r="B134" s="20"/>
      <c r="C134" s="35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</row>
    <row r="135" spans="1:23" s="37" customFormat="1" ht="15.75" customHeight="1" hidden="1">
      <c r="A135" s="21"/>
      <c r="B135" s="20"/>
      <c r="C135" s="35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</row>
    <row r="136" spans="1:23" s="37" customFormat="1" ht="15.75" customHeight="1" hidden="1">
      <c r="A136" s="21"/>
      <c r="B136" s="20"/>
      <c r="C136" s="35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</row>
    <row r="137" spans="1:23" s="37" customFormat="1" ht="15.75" customHeight="1" hidden="1">
      <c r="A137" s="21"/>
      <c r="B137" s="20"/>
      <c r="C137" s="35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</row>
    <row r="138" spans="1:23" s="37" customFormat="1" ht="15.75" customHeight="1" hidden="1">
      <c r="A138" s="21"/>
      <c r="B138" s="20"/>
      <c r="C138" s="35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</row>
    <row r="139" spans="1:23" s="37" customFormat="1" ht="15.75">
      <c r="A139" s="21"/>
      <c r="B139" s="20"/>
      <c r="C139" s="35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</row>
    <row r="140" spans="1:23" s="7" customFormat="1" ht="16.5" customHeight="1">
      <c r="A140" s="56"/>
      <c r="B140" s="57"/>
      <c r="C140" s="58" t="s">
        <v>112</v>
      </c>
      <c r="D140" s="196">
        <f aca="true" t="shared" si="30" ref="D140:P140">SUM(D77:D139)</f>
        <v>79500</v>
      </c>
      <c r="E140" s="196">
        <f t="shared" si="30"/>
        <v>168071</v>
      </c>
      <c r="F140" s="196">
        <f t="shared" si="30"/>
        <v>21386.700000000004</v>
      </c>
      <c r="G140" s="196">
        <f t="shared" si="30"/>
        <v>8937.100000000002</v>
      </c>
      <c r="H140" s="196">
        <f t="shared" si="30"/>
        <v>30323.800000000003</v>
      </c>
      <c r="I140" s="196">
        <f t="shared" si="30"/>
        <v>14842.600000000004</v>
      </c>
      <c r="J140" s="196">
        <f t="shared" si="30"/>
        <v>45166.4</v>
      </c>
      <c r="K140" s="196">
        <f t="shared" si="30"/>
        <v>17495.700000000004</v>
      </c>
      <c r="L140" s="196">
        <f t="shared" si="30"/>
        <v>62662.100000000006</v>
      </c>
      <c r="M140" s="196">
        <f t="shared" si="30"/>
        <v>9177.099999999999</v>
      </c>
      <c r="N140" s="196">
        <f t="shared" si="30"/>
        <v>71839.2</v>
      </c>
      <c r="O140" s="196">
        <f t="shared" si="30"/>
        <v>16576</v>
      </c>
      <c r="P140" s="196">
        <f t="shared" si="30"/>
        <v>88415.2</v>
      </c>
      <c r="Q140" s="196">
        <f>SUM(Q77:Q139)</f>
        <v>21429.8</v>
      </c>
      <c r="R140" s="196">
        <f>SUM(R77:R139)</f>
        <v>109849</v>
      </c>
      <c r="S140" s="44">
        <f>(R140/E140)*100</f>
        <v>65.35868769746119</v>
      </c>
      <c r="T140" s="196">
        <f>SUM(T77:T139)</f>
        <v>158093.06</v>
      </c>
      <c r="U140" s="196">
        <f>SUM(U77:U139)</f>
        <v>59062.3</v>
      </c>
      <c r="V140" s="196">
        <f>SUM(V77:V139)</f>
        <v>0</v>
      </c>
      <c r="W140" s="196">
        <f>SUM(W77:W139)</f>
        <v>0</v>
      </c>
    </row>
    <row r="141" spans="1:23" s="7" customFormat="1" ht="16.5" customHeight="1">
      <c r="A141" s="56"/>
      <c r="B141" s="57"/>
      <c r="C141" s="58" t="s">
        <v>113</v>
      </c>
      <c r="D141" s="196">
        <f aca="true" t="shared" si="31" ref="D141:P141">SUM(D114)</f>
        <v>16719</v>
      </c>
      <c r="E141" s="196">
        <f t="shared" si="31"/>
        <v>16719</v>
      </c>
      <c r="F141" s="196">
        <f t="shared" si="31"/>
        <v>8361.7</v>
      </c>
      <c r="G141" s="196">
        <f t="shared" si="31"/>
        <v>0</v>
      </c>
      <c r="H141" s="196">
        <f t="shared" si="31"/>
        <v>8361.7</v>
      </c>
      <c r="I141" s="196">
        <f t="shared" si="31"/>
        <v>-1458.6000000000004</v>
      </c>
      <c r="J141" s="196">
        <f t="shared" si="31"/>
        <v>6903.1</v>
      </c>
      <c r="K141" s="196">
        <f t="shared" si="31"/>
        <v>6332.4</v>
      </c>
      <c r="L141" s="196">
        <f t="shared" si="31"/>
        <v>13235.5</v>
      </c>
      <c r="M141" s="196">
        <f t="shared" si="31"/>
        <v>2224.3999999999996</v>
      </c>
      <c r="N141" s="196">
        <f t="shared" si="31"/>
        <v>15459.9</v>
      </c>
      <c r="O141" s="196">
        <f t="shared" si="31"/>
        <v>14.200000000000728</v>
      </c>
      <c r="P141" s="196">
        <f t="shared" si="31"/>
        <v>15474.1</v>
      </c>
      <c r="Q141" s="196">
        <f>SUM(Q114)</f>
        <v>0</v>
      </c>
      <c r="R141" s="196">
        <f>SUM(R114)</f>
        <v>15474.1</v>
      </c>
      <c r="S141" s="44">
        <f>(R141/E141)*100</f>
        <v>92.55398050122615</v>
      </c>
      <c r="T141" s="196">
        <f>SUM(T114)</f>
        <v>15474.1</v>
      </c>
      <c r="U141" s="196">
        <f>SUM(U114)</f>
        <v>0</v>
      </c>
      <c r="V141" s="196">
        <f>SUM(V114)</f>
        <v>0</v>
      </c>
      <c r="W141" s="196">
        <f>SUM(W114)</f>
        <v>0</v>
      </c>
    </row>
    <row r="142" spans="1:23" s="37" customFormat="1" ht="15.75" customHeight="1" thickBot="1">
      <c r="A142" s="21"/>
      <c r="B142" s="20"/>
      <c r="C142" s="35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</row>
    <row r="143" spans="1:23" s="37" customFormat="1" ht="12.75" customHeight="1" hidden="1" thickBot="1">
      <c r="A143" s="40"/>
      <c r="B143" s="41"/>
      <c r="C143" s="34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</row>
    <row r="144" spans="1:23" s="10" customFormat="1" ht="18.75" customHeight="1" thickBot="1" thickTop="1">
      <c r="A144" s="59"/>
      <c r="B144" s="27"/>
      <c r="C144" s="60" t="s">
        <v>114</v>
      </c>
      <c r="D144" s="138">
        <f aca="true" t="shared" si="32" ref="D144:R144">SUM(D62,D140)</f>
        <v>84900</v>
      </c>
      <c r="E144" s="138">
        <f t="shared" si="32"/>
        <v>170400</v>
      </c>
      <c r="F144" s="138">
        <f t="shared" si="32"/>
        <v>21613.700000000004</v>
      </c>
      <c r="G144" s="138">
        <f t="shared" si="32"/>
        <v>9045.100000000002</v>
      </c>
      <c r="H144" s="138">
        <f t="shared" si="32"/>
        <v>30658.800000000003</v>
      </c>
      <c r="I144" s="138">
        <f t="shared" si="32"/>
        <v>15070.500000000004</v>
      </c>
      <c r="J144" s="138">
        <f t="shared" si="32"/>
        <v>45729.3</v>
      </c>
      <c r="K144" s="138">
        <f t="shared" si="32"/>
        <v>17602.500000000004</v>
      </c>
      <c r="L144" s="138">
        <f t="shared" si="32"/>
        <v>63331.8</v>
      </c>
      <c r="M144" s="138">
        <f t="shared" si="32"/>
        <v>9455.099999999999</v>
      </c>
      <c r="N144" s="138">
        <f t="shared" si="32"/>
        <v>72846.7</v>
      </c>
      <c r="O144" s="138">
        <f t="shared" si="32"/>
        <v>16624</v>
      </c>
      <c r="P144" s="138">
        <f t="shared" si="32"/>
        <v>89470.7</v>
      </c>
      <c r="Q144" s="138">
        <f t="shared" si="32"/>
        <v>21313.399999999998</v>
      </c>
      <c r="R144" s="138">
        <f t="shared" si="32"/>
        <v>110788.1</v>
      </c>
      <c r="S144" s="138">
        <f>(R144/E144)*100</f>
        <v>65.01649061032863</v>
      </c>
      <c r="T144" s="138">
        <f>SUM(T62,T140)</f>
        <v>160574.46</v>
      </c>
      <c r="U144" s="138">
        <f>SUM(U62,U140)</f>
        <v>61582.3</v>
      </c>
      <c r="V144" s="138">
        <f>SUM(V62,V140)</f>
        <v>4200</v>
      </c>
      <c r="W144" s="138">
        <f>SUM(W62,W140)</f>
        <v>4200</v>
      </c>
    </row>
    <row r="145" spans="1:23" s="37" customFormat="1" ht="16.5" customHeight="1" thickBot="1">
      <c r="A145" s="31"/>
      <c r="B145" s="42"/>
      <c r="C145" s="31"/>
      <c r="D145" s="32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32"/>
      <c r="U145" s="32"/>
      <c r="V145" s="32"/>
      <c r="W145" s="32"/>
    </row>
    <row r="146" spans="1:23" s="10" customFormat="1" ht="12.75" customHeight="1" hidden="1">
      <c r="A146" s="29"/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s="10" customFormat="1" ht="12.75" customHeight="1" hidden="1">
      <c r="A147" s="29"/>
      <c r="B147" s="30"/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s="10" customFormat="1" ht="12.75" customHeight="1" hidden="1">
      <c r="A148" s="29"/>
      <c r="B148" s="30"/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s="10" customFormat="1" ht="12.75" customHeight="1" hidden="1">
      <c r="A149" s="29"/>
      <c r="B149" s="30"/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s="10" customFormat="1" ht="12.75" customHeight="1" hidden="1">
      <c r="A150" s="29"/>
      <c r="B150" s="30"/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s="10" customFormat="1" ht="12.75" customHeight="1" hidden="1">
      <c r="A151" s="29"/>
      <c r="B151" s="30"/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s="10" customFormat="1" ht="15.75" customHeight="1" hidden="1" thickBot="1">
      <c r="A152" s="29"/>
      <c r="B152" s="30"/>
      <c r="C152" s="31"/>
      <c r="D152" s="32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32"/>
      <c r="U152" s="32"/>
      <c r="V152" s="32"/>
      <c r="W152" s="32"/>
    </row>
    <row r="153" spans="1:23" s="10" customFormat="1" ht="18">
      <c r="A153" s="148" t="s">
        <v>2</v>
      </c>
      <c r="B153" s="150" t="s">
        <v>3</v>
      </c>
      <c r="C153" s="211" t="s">
        <v>485</v>
      </c>
      <c r="D153" s="162" t="s">
        <v>489</v>
      </c>
      <c r="E153" s="162" t="s">
        <v>490</v>
      </c>
      <c r="F153" s="186" t="s">
        <v>6</v>
      </c>
      <c r="G153" s="186" t="s">
        <v>6</v>
      </c>
      <c r="H153" s="186" t="s">
        <v>6</v>
      </c>
      <c r="I153" s="186" t="s">
        <v>6</v>
      </c>
      <c r="J153" s="186" t="s">
        <v>6</v>
      </c>
      <c r="K153" s="186" t="s">
        <v>6</v>
      </c>
      <c r="L153" s="186" t="s">
        <v>6</v>
      </c>
      <c r="M153" s="186" t="s">
        <v>6</v>
      </c>
      <c r="N153" s="186" t="s">
        <v>6</v>
      </c>
      <c r="O153" s="186" t="s">
        <v>6</v>
      </c>
      <c r="P153" s="186" t="s">
        <v>6</v>
      </c>
      <c r="Q153" s="186" t="s">
        <v>6</v>
      </c>
      <c r="R153" s="186" t="s">
        <v>6</v>
      </c>
      <c r="S153" s="186" t="s">
        <v>7</v>
      </c>
      <c r="T153" s="186" t="s">
        <v>458</v>
      </c>
      <c r="U153" s="186" t="s">
        <v>5</v>
      </c>
      <c r="V153" s="186" t="s">
        <v>5</v>
      </c>
      <c r="W153" s="186" t="s">
        <v>5</v>
      </c>
    </row>
    <row r="154" spans="1:23" s="10" customFormat="1" ht="15.75" customHeight="1" thickBot="1">
      <c r="A154" s="151"/>
      <c r="B154" s="152"/>
      <c r="C154" s="153"/>
      <c r="D154" s="166">
        <v>2010</v>
      </c>
      <c r="E154" s="166">
        <v>2010</v>
      </c>
      <c r="F154" s="187" t="s">
        <v>10</v>
      </c>
      <c r="G154" s="187" t="s">
        <v>11</v>
      </c>
      <c r="H154" s="187" t="s">
        <v>12</v>
      </c>
      <c r="I154" s="187" t="s">
        <v>13</v>
      </c>
      <c r="J154" s="187" t="s">
        <v>14</v>
      </c>
      <c r="K154" s="187" t="s">
        <v>15</v>
      </c>
      <c r="L154" s="187" t="s">
        <v>16</v>
      </c>
      <c r="M154" s="187" t="s">
        <v>17</v>
      </c>
      <c r="N154" s="187" t="s">
        <v>18</v>
      </c>
      <c r="O154" s="187" t="s">
        <v>19</v>
      </c>
      <c r="P154" s="187" t="s">
        <v>20</v>
      </c>
      <c r="Q154" s="187" t="s">
        <v>21</v>
      </c>
      <c r="R154" s="187" t="s">
        <v>22</v>
      </c>
      <c r="S154" s="187" t="s">
        <v>23</v>
      </c>
      <c r="T154" s="187" t="s">
        <v>460</v>
      </c>
      <c r="U154" s="187" t="s">
        <v>461</v>
      </c>
      <c r="V154" s="187" t="s">
        <v>462</v>
      </c>
      <c r="W154" s="187" t="s">
        <v>459</v>
      </c>
    </row>
    <row r="155" spans="1:23" s="10" customFormat="1" ht="16.5" customHeight="1" thickTop="1">
      <c r="A155" s="13">
        <v>30</v>
      </c>
      <c r="B155" s="13"/>
      <c r="C155" s="62" t="s">
        <v>115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</row>
    <row r="156" spans="1:23" s="10" customFormat="1" ht="16.5" customHeight="1" hidden="1">
      <c r="A156" s="63">
        <v>31</v>
      </c>
      <c r="B156" s="63"/>
      <c r="C156" s="31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</row>
    <row r="157" spans="1:23" s="10" customFormat="1" ht="15">
      <c r="A157" s="54"/>
      <c r="B157" s="54">
        <v>2212</v>
      </c>
      <c r="C157" s="35" t="s">
        <v>116</v>
      </c>
      <c r="D157" s="197">
        <v>8700</v>
      </c>
      <c r="E157" s="197">
        <v>13794</v>
      </c>
      <c r="F157" s="197">
        <v>2159.8</v>
      </c>
      <c r="G157" s="44">
        <f aca="true" t="shared" si="33" ref="G157:G171">H157-F157</f>
        <v>587.0999999999999</v>
      </c>
      <c r="H157" s="197">
        <v>2746.9</v>
      </c>
      <c r="I157" s="44">
        <f aca="true" t="shared" si="34" ref="I157:I169">J157-H157</f>
        <v>983.2999999999997</v>
      </c>
      <c r="J157" s="197">
        <v>3730.2</v>
      </c>
      <c r="K157" s="44">
        <f aca="true" t="shared" si="35" ref="K157:K169">L157-J157</f>
        <v>737.1999999999998</v>
      </c>
      <c r="L157" s="197">
        <v>4467.4</v>
      </c>
      <c r="M157" s="44">
        <f aca="true" t="shared" si="36" ref="M157:M169">N157-L157</f>
        <v>2543.2000000000007</v>
      </c>
      <c r="N157" s="197">
        <v>7010.6</v>
      </c>
      <c r="O157" s="44">
        <f aca="true" t="shared" si="37" ref="O157:O169">P157-N157</f>
        <v>1836.3999999999996</v>
      </c>
      <c r="P157" s="197">
        <v>8847</v>
      </c>
      <c r="Q157" s="44">
        <f aca="true" t="shared" si="38" ref="Q157:Q169">R157-P157</f>
        <v>1609.5</v>
      </c>
      <c r="R157" s="197">
        <v>10456.5</v>
      </c>
      <c r="S157" s="44">
        <f aca="true" t="shared" si="39" ref="S157:S171">(R157/E157)*100</f>
        <v>75.80469769464985</v>
      </c>
      <c r="T157" s="197">
        <v>14404</v>
      </c>
      <c r="U157" s="197">
        <v>10900</v>
      </c>
      <c r="V157" s="197">
        <v>10450</v>
      </c>
      <c r="W157" s="197">
        <v>10450</v>
      </c>
    </row>
    <row r="158" spans="1:23" s="10" customFormat="1" ht="15">
      <c r="A158" s="54"/>
      <c r="B158" s="54">
        <v>2219</v>
      </c>
      <c r="C158" s="21" t="s">
        <v>117</v>
      </c>
      <c r="D158" s="44">
        <v>4900</v>
      </c>
      <c r="E158" s="44">
        <v>20680</v>
      </c>
      <c r="F158" s="44">
        <v>2306.5</v>
      </c>
      <c r="G158" s="44">
        <f t="shared" si="33"/>
        <v>1031.6999999999998</v>
      </c>
      <c r="H158" s="44">
        <v>3338.2</v>
      </c>
      <c r="I158" s="44">
        <f t="shared" si="34"/>
        <v>757.9000000000005</v>
      </c>
      <c r="J158" s="44">
        <v>4096.1</v>
      </c>
      <c r="K158" s="44">
        <f t="shared" si="35"/>
        <v>693.1999999999998</v>
      </c>
      <c r="L158" s="44">
        <v>4789.3</v>
      </c>
      <c r="M158" s="44">
        <f t="shared" si="36"/>
        <v>708.8000000000002</v>
      </c>
      <c r="N158" s="44">
        <v>5498.1</v>
      </c>
      <c r="O158" s="44">
        <f t="shared" si="37"/>
        <v>1572.2999999999993</v>
      </c>
      <c r="P158" s="44">
        <v>7070.4</v>
      </c>
      <c r="Q158" s="44">
        <f t="shared" si="38"/>
        <v>1936.2000000000007</v>
      </c>
      <c r="R158" s="44">
        <v>9006.6</v>
      </c>
      <c r="S158" s="44">
        <f t="shared" si="39"/>
        <v>43.55222437137331</v>
      </c>
      <c r="T158" s="44">
        <v>21145</v>
      </c>
      <c r="U158" s="44">
        <v>8845</v>
      </c>
      <c r="V158" s="44">
        <v>8845</v>
      </c>
      <c r="W158" s="44">
        <v>8845</v>
      </c>
    </row>
    <row r="159" spans="1:23" s="10" customFormat="1" ht="15">
      <c r="A159" s="54"/>
      <c r="B159" s="54">
        <v>2221</v>
      </c>
      <c r="C159" s="35" t="s">
        <v>478</v>
      </c>
      <c r="D159" s="44">
        <v>0</v>
      </c>
      <c r="E159" s="44">
        <v>0</v>
      </c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>
        <v>0</v>
      </c>
      <c r="S159" s="44"/>
      <c r="T159" s="44">
        <v>0</v>
      </c>
      <c r="U159" s="44">
        <v>100</v>
      </c>
      <c r="V159" s="44">
        <v>100</v>
      </c>
      <c r="W159" s="44">
        <v>100</v>
      </c>
    </row>
    <row r="160" spans="1:23" s="10" customFormat="1" ht="15">
      <c r="A160" s="54"/>
      <c r="B160" s="54">
        <v>2229</v>
      </c>
      <c r="C160" s="35" t="s">
        <v>118</v>
      </c>
      <c r="D160" s="44">
        <v>50</v>
      </c>
      <c r="E160" s="44">
        <v>50</v>
      </c>
      <c r="F160" s="44">
        <v>0</v>
      </c>
      <c r="G160" s="44">
        <f t="shared" si="33"/>
        <v>0</v>
      </c>
      <c r="H160" s="44">
        <v>0</v>
      </c>
      <c r="I160" s="44">
        <f t="shared" si="34"/>
        <v>0.5</v>
      </c>
      <c r="J160" s="44">
        <v>0.5</v>
      </c>
      <c r="K160" s="44">
        <f t="shared" si="35"/>
        <v>0</v>
      </c>
      <c r="L160" s="44">
        <v>0.5</v>
      </c>
      <c r="M160" s="44">
        <f t="shared" si="36"/>
        <v>16.3</v>
      </c>
      <c r="N160" s="44">
        <v>16.8</v>
      </c>
      <c r="O160" s="44">
        <f t="shared" si="37"/>
        <v>0</v>
      </c>
      <c r="P160" s="44">
        <v>16.8</v>
      </c>
      <c r="Q160" s="44">
        <f t="shared" si="38"/>
        <v>28.599999999999998</v>
      </c>
      <c r="R160" s="44">
        <v>45.4</v>
      </c>
      <c r="S160" s="44">
        <f t="shared" si="39"/>
        <v>90.8</v>
      </c>
      <c r="T160" s="44">
        <v>50</v>
      </c>
      <c r="U160" s="44">
        <v>50</v>
      </c>
      <c r="V160" s="44">
        <v>50</v>
      </c>
      <c r="W160" s="44">
        <v>50</v>
      </c>
    </row>
    <row r="161" spans="1:23" s="10" customFormat="1" ht="15">
      <c r="A161" s="21"/>
      <c r="B161" s="54">
        <v>3341</v>
      </c>
      <c r="C161" s="29" t="s">
        <v>119</v>
      </c>
      <c r="D161" s="44">
        <v>30</v>
      </c>
      <c r="E161" s="44">
        <v>30</v>
      </c>
      <c r="F161" s="44">
        <v>0</v>
      </c>
      <c r="G161" s="44">
        <f t="shared" si="33"/>
        <v>0</v>
      </c>
      <c r="H161" s="44">
        <v>0</v>
      </c>
      <c r="I161" s="44">
        <f t="shared" si="34"/>
        <v>0</v>
      </c>
      <c r="J161" s="44">
        <v>0</v>
      </c>
      <c r="K161" s="44">
        <f t="shared" si="35"/>
        <v>0</v>
      </c>
      <c r="L161" s="44">
        <v>0</v>
      </c>
      <c r="M161" s="44">
        <f t="shared" si="36"/>
        <v>0</v>
      </c>
      <c r="N161" s="44">
        <v>0</v>
      </c>
      <c r="O161" s="44">
        <f t="shared" si="37"/>
        <v>0</v>
      </c>
      <c r="P161" s="44">
        <v>0</v>
      </c>
      <c r="Q161" s="44">
        <f t="shared" si="38"/>
        <v>0</v>
      </c>
      <c r="R161" s="44">
        <v>0</v>
      </c>
      <c r="S161" s="44">
        <f t="shared" si="39"/>
        <v>0</v>
      </c>
      <c r="T161" s="44">
        <v>9</v>
      </c>
      <c r="U161" s="44">
        <v>30</v>
      </c>
      <c r="V161" s="44">
        <v>30</v>
      </c>
      <c r="W161" s="44">
        <v>30</v>
      </c>
    </row>
    <row r="162" spans="1:23" s="10" customFormat="1" ht="15" customHeight="1" hidden="1">
      <c r="A162" s="21"/>
      <c r="B162" s="54">
        <v>3349</v>
      </c>
      <c r="C162" s="35" t="s">
        <v>120</v>
      </c>
      <c r="D162" s="44">
        <v>0</v>
      </c>
      <c r="E162" s="44">
        <v>0</v>
      </c>
      <c r="F162" s="44"/>
      <c r="G162" s="44">
        <f t="shared" si="33"/>
        <v>0</v>
      </c>
      <c r="H162" s="44"/>
      <c r="I162" s="44">
        <f t="shared" si="34"/>
        <v>0</v>
      </c>
      <c r="J162" s="44"/>
      <c r="K162" s="44">
        <f t="shared" si="35"/>
        <v>0</v>
      </c>
      <c r="L162" s="44"/>
      <c r="M162" s="44">
        <f t="shared" si="36"/>
        <v>0</v>
      </c>
      <c r="N162" s="44"/>
      <c r="O162" s="44">
        <f t="shared" si="37"/>
        <v>0</v>
      </c>
      <c r="P162" s="44"/>
      <c r="Q162" s="44">
        <f t="shared" si="38"/>
        <v>0</v>
      </c>
      <c r="R162" s="44"/>
      <c r="S162" s="44" t="e">
        <f t="shared" si="39"/>
        <v>#DIV/0!</v>
      </c>
      <c r="T162" s="44"/>
      <c r="U162" s="44"/>
      <c r="V162" s="44"/>
      <c r="W162" s="44"/>
    </row>
    <row r="163" spans="1:23" s="10" customFormat="1" ht="15" hidden="1">
      <c r="A163" s="21"/>
      <c r="B163" s="54">
        <v>3421</v>
      </c>
      <c r="C163" s="35" t="s">
        <v>121</v>
      </c>
      <c r="D163" s="44">
        <v>0</v>
      </c>
      <c r="E163" s="44">
        <v>0</v>
      </c>
      <c r="F163" s="44">
        <v>0</v>
      </c>
      <c r="G163" s="44">
        <f t="shared" si="33"/>
        <v>0</v>
      </c>
      <c r="H163" s="44">
        <v>0</v>
      </c>
      <c r="I163" s="44">
        <f t="shared" si="34"/>
        <v>0</v>
      </c>
      <c r="J163" s="44">
        <v>0</v>
      </c>
      <c r="K163" s="44">
        <f t="shared" si="35"/>
        <v>0</v>
      </c>
      <c r="L163" s="44">
        <v>0</v>
      </c>
      <c r="M163" s="44">
        <f t="shared" si="36"/>
        <v>0</v>
      </c>
      <c r="N163" s="44">
        <v>0</v>
      </c>
      <c r="O163" s="44">
        <f t="shared" si="37"/>
        <v>0</v>
      </c>
      <c r="P163" s="44">
        <v>0</v>
      </c>
      <c r="Q163" s="44">
        <f t="shared" si="38"/>
        <v>0</v>
      </c>
      <c r="R163" s="44">
        <v>0</v>
      </c>
      <c r="S163" s="44" t="e">
        <f t="shared" si="39"/>
        <v>#DIV/0!</v>
      </c>
      <c r="T163" s="44">
        <v>0</v>
      </c>
      <c r="U163" s="44">
        <v>0</v>
      </c>
      <c r="V163" s="44">
        <v>0</v>
      </c>
      <c r="W163" s="44">
        <v>0</v>
      </c>
    </row>
    <row r="164" spans="1:23" s="10" customFormat="1" ht="15">
      <c r="A164" s="21"/>
      <c r="B164" s="54">
        <v>3631</v>
      </c>
      <c r="C164" s="35" t="s">
        <v>122</v>
      </c>
      <c r="D164" s="44">
        <v>9570</v>
      </c>
      <c r="E164" s="44">
        <v>7470</v>
      </c>
      <c r="F164" s="44">
        <v>1136.6</v>
      </c>
      <c r="G164" s="44">
        <f t="shared" si="33"/>
        <v>1086.2000000000003</v>
      </c>
      <c r="H164" s="44">
        <v>2222.8</v>
      </c>
      <c r="I164" s="44">
        <f t="shared" si="34"/>
        <v>634.8999999999996</v>
      </c>
      <c r="J164" s="44">
        <v>2857.7</v>
      </c>
      <c r="K164" s="44">
        <f t="shared" si="35"/>
        <v>618.9000000000001</v>
      </c>
      <c r="L164" s="44">
        <v>3476.6</v>
      </c>
      <c r="M164" s="44">
        <f t="shared" si="36"/>
        <v>554.0999999999999</v>
      </c>
      <c r="N164" s="44">
        <v>4030.7</v>
      </c>
      <c r="O164" s="44">
        <f t="shared" si="37"/>
        <v>615.1000000000004</v>
      </c>
      <c r="P164" s="44">
        <v>4645.8</v>
      </c>
      <c r="Q164" s="44">
        <f t="shared" si="38"/>
        <v>514.3999999999996</v>
      </c>
      <c r="R164" s="44">
        <v>5160.2</v>
      </c>
      <c r="S164" s="44">
        <f t="shared" si="39"/>
        <v>69.07898259705489</v>
      </c>
      <c r="T164" s="44">
        <v>7470</v>
      </c>
      <c r="U164" s="44">
        <f>7320-200</f>
        <v>7120</v>
      </c>
      <c r="V164" s="44">
        <v>7520</v>
      </c>
      <c r="W164" s="44">
        <v>7620</v>
      </c>
    </row>
    <row r="165" spans="1:23" s="10" customFormat="1" ht="15">
      <c r="A165" s="21"/>
      <c r="B165" s="54">
        <v>3632</v>
      </c>
      <c r="C165" s="29" t="s">
        <v>123</v>
      </c>
      <c r="D165" s="44">
        <v>641</v>
      </c>
      <c r="E165" s="44">
        <v>2198.2</v>
      </c>
      <c r="F165" s="44">
        <v>114.3</v>
      </c>
      <c r="G165" s="44">
        <f t="shared" si="33"/>
        <v>8.700000000000003</v>
      </c>
      <c r="H165" s="44">
        <v>123</v>
      </c>
      <c r="I165" s="44">
        <f t="shared" si="34"/>
        <v>136.2</v>
      </c>
      <c r="J165" s="44">
        <v>259.2</v>
      </c>
      <c r="K165" s="44">
        <f t="shared" si="35"/>
        <v>7.199999999999989</v>
      </c>
      <c r="L165" s="44">
        <v>266.4</v>
      </c>
      <c r="M165" s="44">
        <f t="shared" si="36"/>
        <v>13.400000000000034</v>
      </c>
      <c r="N165" s="44">
        <v>279.8</v>
      </c>
      <c r="O165" s="44">
        <f t="shared" si="37"/>
        <v>463.8</v>
      </c>
      <c r="P165" s="44">
        <v>743.6</v>
      </c>
      <c r="Q165" s="44">
        <f t="shared" si="38"/>
        <v>775.1999999999999</v>
      </c>
      <c r="R165" s="44">
        <v>1518.8</v>
      </c>
      <c r="S165" s="44">
        <f t="shared" si="39"/>
        <v>69.09289418615231</v>
      </c>
      <c r="T165" s="44">
        <v>2448.2</v>
      </c>
      <c r="U165" s="44">
        <v>1075</v>
      </c>
      <c r="V165" s="44">
        <v>1080</v>
      </c>
      <c r="W165" s="44">
        <v>1085</v>
      </c>
    </row>
    <row r="166" spans="1:23" s="10" customFormat="1" ht="15">
      <c r="A166" s="21"/>
      <c r="B166" s="54">
        <v>3722</v>
      </c>
      <c r="C166" s="35" t="s">
        <v>124</v>
      </c>
      <c r="D166" s="44">
        <v>25060</v>
      </c>
      <c r="E166" s="44">
        <v>19783.8</v>
      </c>
      <c r="F166" s="44">
        <v>3074</v>
      </c>
      <c r="G166" s="44">
        <f t="shared" si="33"/>
        <v>1558.6000000000004</v>
      </c>
      <c r="H166" s="44">
        <v>4632.6</v>
      </c>
      <c r="I166" s="44">
        <f t="shared" si="34"/>
        <v>1561.3999999999996</v>
      </c>
      <c r="J166" s="44">
        <v>6194</v>
      </c>
      <c r="K166" s="44">
        <f t="shared" si="35"/>
        <v>1617.1000000000004</v>
      </c>
      <c r="L166" s="44">
        <v>7811.1</v>
      </c>
      <c r="M166" s="44">
        <f t="shared" si="36"/>
        <v>1560.5</v>
      </c>
      <c r="N166" s="44">
        <v>9371.6</v>
      </c>
      <c r="O166" s="44">
        <f t="shared" si="37"/>
        <v>1558.7999999999993</v>
      </c>
      <c r="P166" s="44">
        <v>10930.4</v>
      </c>
      <c r="Q166" s="44">
        <f t="shared" si="38"/>
        <v>1629.300000000001</v>
      </c>
      <c r="R166" s="44">
        <v>12559.7</v>
      </c>
      <c r="S166" s="44">
        <f t="shared" si="39"/>
        <v>63.48477036767457</v>
      </c>
      <c r="T166" s="44">
        <v>19783.8</v>
      </c>
      <c r="U166" s="44">
        <f>19565-727</f>
        <v>18838</v>
      </c>
      <c r="V166" s="44">
        <v>19565</v>
      </c>
      <c r="W166" s="44">
        <v>19565</v>
      </c>
    </row>
    <row r="167" spans="1:23" s="10" customFormat="1" ht="15">
      <c r="A167" s="21"/>
      <c r="B167" s="54">
        <v>3745</v>
      </c>
      <c r="C167" s="35" t="s">
        <v>125</v>
      </c>
      <c r="D167" s="44">
        <v>11963</v>
      </c>
      <c r="E167" s="44">
        <v>21950.5</v>
      </c>
      <c r="F167" s="44">
        <v>2101.3</v>
      </c>
      <c r="G167" s="44">
        <f t="shared" si="33"/>
        <v>1083.8999999999996</v>
      </c>
      <c r="H167" s="44">
        <v>3185.2</v>
      </c>
      <c r="I167" s="44">
        <f t="shared" si="34"/>
        <v>2134.1000000000004</v>
      </c>
      <c r="J167" s="44">
        <v>5319.3</v>
      </c>
      <c r="K167" s="44">
        <f t="shared" si="35"/>
        <v>2644.8999999999996</v>
      </c>
      <c r="L167" s="44">
        <v>7964.2</v>
      </c>
      <c r="M167" s="44">
        <f t="shared" si="36"/>
        <v>4022.500000000001</v>
      </c>
      <c r="N167" s="44">
        <v>11986.7</v>
      </c>
      <c r="O167" s="44">
        <f t="shared" si="37"/>
        <v>2123.3999999999996</v>
      </c>
      <c r="P167" s="44">
        <v>14110.1</v>
      </c>
      <c r="Q167" s="44">
        <f t="shared" si="38"/>
        <v>2152.7999999999993</v>
      </c>
      <c r="R167" s="44">
        <v>16262.9</v>
      </c>
      <c r="S167" s="44">
        <f t="shared" si="39"/>
        <v>74.08897291633448</v>
      </c>
      <c r="T167" s="44">
        <v>21012.2</v>
      </c>
      <c r="U167" s="44">
        <f>17451-1500</f>
        <v>15951</v>
      </c>
      <c r="V167" s="44">
        <v>17451</v>
      </c>
      <c r="W167" s="44">
        <v>17449</v>
      </c>
    </row>
    <row r="168" spans="1:23" s="10" customFormat="1" ht="15">
      <c r="A168" s="21"/>
      <c r="B168" s="54">
        <v>5512</v>
      </c>
      <c r="C168" s="29" t="s">
        <v>126</v>
      </c>
      <c r="D168" s="44">
        <v>3529</v>
      </c>
      <c r="E168" s="44">
        <v>3687.6</v>
      </c>
      <c r="F168" s="44">
        <v>439.7</v>
      </c>
      <c r="G168" s="44">
        <f t="shared" si="33"/>
        <v>77.09999999999997</v>
      </c>
      <c r="H168" s="44">
        <v>516.8</v>
      </c>
      <c r="I168" s="44">
        <f t="shared" si="34"/>
        <v>189.5</v>
      </c>
      <c r="J168" s="44">
        <v>706.3</v>
      </c>
      <c r="K168" s="44">
        <f t="shared" si="35"/>
        <v>61.80000000000007</v>
      </c>
      <c r="L168" s="44">
        <v>768.1</v>
      </c>
      <c r="M168" s="44">
        <f t="shared" si="36"/>
        <v>55.69999999999993</v>
      </c>
      <c r="N168" s="44">
        <v>823.8</v>
      </c>
      <c r="O168" s="44">
        <f t="shared" si="37"/>
        <v>357.29999999999995</v>
      </c>
      <c r="P168" s="44">
        <v>1181.1</v>
      </c>
      <c r="Q168" s="44">
        <f t="shared" si="38"/>
        <v>138.9000000000001</v>
      </c>
      <c r="R168" s="44">
        <v>1320</v>
      </c>
      <c r="S168" s="44">
        <f t="shared" si="39"/>
        <v>35.795639440286365</v>
      </c>
      <c r="T168" s="44">
        <v>3476</v>
      </c>
      <c r="U168" s="44">
        <v>3247</v>
      </c>
      <c r="V168" s="44">
        <v>1515</v>
      </c>
      <c r="W168" s="44">
        <v>1745</v>
      </c>
    </row>
    <row r="169" spans="1:23" s="10" customFormat="1" ht="15.75" customHeight="1">
      <c r="A169" s="21"/>
      <c r="B169" s="54">
        <v>6112</v>
      </c>
      <c r="C169" s="35" t="s">
        <v>127</v>
      </c>
      <c r="D169" s="44">
        <v>4600</v>
      </c>
      <c r="E169" s="44">
        <v>4600</v>
      </c>
      <c r="F169" s="44">
        <v>383.7</v>
      </c>
      <c r="G169" s="44">
        <f t="shared" si="33"/>
        <v>351.8</v>
      </c>
      <c r="H169" s="44">
        <v>735.5</v>
      </c>
      <c r="I169" s="44">
        <f t="shared" si="34"/>
        <v>351.5</v>
      </c>
      <c r="J169" s="44">
        <v>1087</v>
      </c>
      <c r="K169" s="44">
        <f t="shared" si="35"/>
        <v>349.4000000000001</v>
      </c>
      <c r="L169" s="44">
        <v>1436.4</v>
      </c>
      <c r="M169" s="44">
        <f t="shared" si="36"/>
        <v>456.39999999999986</v>
      </c>
      <c r="N169" s="44">
        <v>1892.8</v>
      </c>
      <c r="O169" s="44">
        <f t="shared" si="37"/>
        <v>376.10000000000014</v>
      </c>
      <c r="P169" s="44">
        <v>2268.9</v>
      </c>
      <c r="Q169" s="44">
        <f t="shared" si="38"/>
        <v>361.0999999999999</v>
      </c>
      <c r="R169" s="44">
        <v>2630</v>
      </c>
      <c r="S169" s="44">
        <f t="shared" si="39"/>
        <v>57.173913043478265</v>
      </c>
      <c r="T169" s="44">
        <v>5660</v>
      </c>
      <c r="U169" s="44">
        <v>4950</v>
      </c>
      <c r="V169" s="44">
        <v>4950</v>
      </c>
      <c r="W169" s="44">
        <v>4950</v>
      </c>
    </row>
    <row r="170" spans="1:23" s="10" customFormat="1" ht="15.75" customHeight="1">
      <c r="A170" s="21"/>
      <c r="B170" s="54">
        <v>6114</v>
      </c>
      <c r="C170" s="35" t="s">
        <v>477</v>
      </c>
      <c r="D170" s="44">
        <v>0</v>
      </c>
      <c r="E170" s="44">
        <v>482</v>
      </c>
      <c r="F170" s="44">
        <v>0</v>
      </c>
      <c r="G170" s="44">
        <f t="shared" si="33"/>
        <v>0</v>
      </c>
      <c r="H170" s="44">
        <v>0</v>
      </c>
      <c r="I170" s="44">
        <f>J170-H170</f>
        <v>52.5</v>
      </c>
      <c r="J170" s="44">
        <v>52.5</v>
      </c>
      <c r="K170" s="44">
        <f>L170-J170</f>
        <v>56.099999999999994</v>
      </c>
      <c r="L170" s="44">
        <v>108.6</v>
      </c>
      <c r="M170" s="44">
        <f>N170-L170</f>
        <v>361.1</v>
      </c>
      <c r="N170" s="44">
        <v>469.7</v>
      </c>
      <c r="O170" s="44">
        <f>P170-N170</f>
        <v>1.1999999999999886</v>
      </c>
      <c r="P170" s="44">
        <v>470.9</v>
      </c>
      <c r="Q170" s="44">
        <f>R170-P170</f>
        <v>0</v>
      </c>
      <c r="R170" s="44">
        <v>470.9</v>
      </c>
      <c r="S170" s="44">
        <f t="shared" si="39"/>
        <v>97.69709543568464</v>
      </c>
      <c r="T170" s="44">
        <v>482</v>
      </c>
      <c r="U170" s="44">
        <v>0</v>
      </c>
      <c r="V170" s="44">
        <v>0</v>
      </c>
      <c r="W170" s="44">
        <v>0</v>
      </c>
    </row>
    <row r="171" spans="1:23" s="10" customFormat="1" ht="17.25" customHeight="1">
      <c r="A171" s="54" t="s">
        <v>128</v>
      </c>
      <c r="B171" s="54">
        <v>6171</v>
      </c>
      <c r="C171" s="35" t="s">
        <v>129</v>
      </c>
      <c r="D171" s="44">
        <f>91491+230</f>
        <v>91721</v>
      </c>
      <c r="E171" s="44">
        <f>102909.6+260</f>
        <v>103169.6</v>
      </c>
      <c r="F171" s="44">
        <f>10259.1+54+0.7</f>
        <v>10313.800000000001</v>
      </c>
      <c r="G171" s="44">
        <f t="shared" si="33"/>
        <v>6733.9</v>
      </c>
      <c r="H171" s="44">
        <f>16954.3+93.4</f>
        <v>17047.7</v>
      </c>
      <c r="I171" s="44">
        <f>J171-H171</f>
        <v>8437.399999999998</v>
      </c>
      <c r="J171" s="44">
        <v>25485.1</v>
      </c>
      <c r="K171" s="44">
        <f>L171-J171</f>
        <v>10276.200000000004</v>
      </c>
      <c r="L171" s="44">
        <f>35626.3+135</f>
        <v>35761.3</v>
      </c>
      <c r="M171" s="44">
        <f>N171-L171</f>
        <v>6779.299999999996</v>
      </c>
      <c r="N171" s="44">
        <f>42373.7+166.9</f>
        <v>42540.6</v>
      </c>
      <c r="O171" s="44">
        <f>P171-N171</f>
        <v>8242</v>
      </c>
      <c r="P171" s="44">
        <f>50589.4+193.2</f>
        <v>50782.6</v>
      </c>
      <c r="Q171" s="44">
        <f>R171-P171</f>
        <v>9424.599999999999</v>
      </c>
      <c r="R171" s="44">
        <f>59999.2+208</f>
        <v>60207.2</v>
      </c>
      <c r="S171" s="44">
        <f t="shared" si="39"/>
        <v>58.35750065910887</v>
      </c>
      <c r="T171" s="44">
        <v>102516.6</v>
      </c>
      <c r="U171" s="44">
        <f>101383-3825-500</f>
        <v>97058</v>
      </c>
      <c r="V171" s="44">
        <v>95456</v>
      </c>
      <c r="W171" s="44">
        <v>95456</v>
      </c>
    </row>
    <row r="172" spans="1:23" s="10" customFormat="1" ht="18" customHeight="1" thickBot="1">
      <c r="A172" s="64"/>
      <c r="B172" s="65">
        <v>6409</v>
      </c>
      <c r="C172" s="22" t="s">
        <v>488</v>
      </c>
      <c r="D172" s="139">
        <v>0</v>
      </c>
      <c r="E172" s="139">
        <v>0</v>
      </c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>
        <v>0</v>
      </c>
      <c r="S172" s="139"/>
      <c r="T172" s="139">
        <v>0</v>
      </c>
      <c r="U172" s="139">
        <v>968.137</v>
      </c>
      <c r="V172" s="139">
        <v>0</v>
      </c>
      <c r="W172" s="139">
        <v>0</v>
      </c>
    </row>
    <row r="173" spans="1:23" s="10" customFormat="1" ht="18.75" customHeight="1" thickBot="1" thickTop="1">
      <c r="A173" s="59"/>
      <c r="B173" s="66"/>
      <c r="C173" s="67" t="s">
        <v>130</v>
      </c>
      <c r="D173" s="138">
        <f aca="true" t="shared" si="40" ref="D173:P173">SUM(D157:D172)</f>
        <v>160764</v>
      </c>
      <c r="E173" s="138">
        <f t="shared" si="40"/>
        <v>197895.7</v>
      </c>
      <c r="F173" s="138">
        <f t="shared" si="40"/>
        <v>22029.700000000004</v>
      </c>
      <c r="G173" s="138">
        <f t="shared" si="40"/>
        <v>12519</v>
      </c>
      <c r="H173" s="138">
        <f t="shared" si="40"/>
        <v>34548.7</v>
      </c>
      <c r="I173" s="138">
        <f t="shared" si="40"/>
        <v>15239.199999999997</v>
      </c>
      <c r="J173" s="138">
        <f t="shared" si="40"/>
        <v>49787.899999999994</v>
      </c>
      <c r="K173" s="138">
        <f t="shared" si="40"/>
        <v>17062.000000000007</v>
      </c>
      <c r="L173" s="138">
        <f t="shared" si="40"/>
        <v>66849.90000000001</v>
      </c>
      <c r="M173" s="138">
        <f t="shared" si="40"/>
        <v>17071.3</v>
      </c>
      <c r="N173" s="138">
        <f t="shared" si="40"/>
        <v>83921.20000000001</v>
      </c>
      <c r="O173" s="138">
        <f t="shared" si="40"/>
        <v>17146.4</v>
      </c>
      <c r="P173" s="138">
        <f t="shared" si="40"/>
        <v>101067.6</v>
      </c>
      <c r="Q173" s="138">
        <f>SUM(Q157:Q172)</f>
        <v>18570.6</v>
      </c>
      <c r="R173" s="138">
        <f>SUM(R157:R172)</f>
        <v>119638.2</v>
      </c>
      <c r="S173" s="138">
        <f>(R173/E173)*100</f>
        <v>60.45517916761203</v>
      </c>
      <c r="T173" s="138">
        <f>SUM(T157:T172)</f>
        <v>198456.8</v>
      </c>
      <c r="U173" s="138">
        <f>SUM(U157:U172)</f>
        <v>169132.137</v>
      </c>
      <c r="V173" s="138">
        <f>SUM(V157:V172)</f>
        <v>167012</v>
      </c>
      <c r="W173" s="138">
        <f>SUM(W157:W172)</f>
        <v>167345</v>
      </c>
    </row>
    <row r="174" spans="1:23" s="10" customFormat="1" ht="15.75" customHeight="1" thickBot="1">
      <c r="A174" s="29"/>
      <c r="B174" s="30"/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s="10" customFormat="1" ht="12.75" customHeight="1" hidden="1">
      <c r="A175" s="29"/>
      <c r="B175" s="30"/>
      <c r="C175" s="31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s="10" customFormat="1" ht="12.75" customHeight="1" hidden="1">
      <c r="A176" s="29"/>
      <c r="B176" s="30"/>
      <c r="C176" s="31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s="10" customFormat="1" ht="12.75" customHeight="1" hidden="1">
      <c r="A177" s="29"/>
      <c r="B177" s="30"/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s="10" customFormat="1" ht="12.75" customHeight="1" hidden="1">
      <c r="A178" s="29"/>
      <c r="B178" s="30"/>
      <c r="C178" s="31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s="10" customFormat="1" ht="15.75" customHeight="1" hidden="1" thickBot="1">
      <c r="A179" s="29"/>
      <c r="B179" s="30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s="10" customFormat="1" ht="18">
      <c r="A180" s="148" t="s">
        <v>2</v>
      </c>
      <c r="B180" s="150" t="s">
        <v>3</v>
      </c>
      <c r="C180" s="211" t="s">
        <v>485</v>
      </c>
      <c r="D180" s="162" t="s">
        <v>489</v>
      </c>
      <c r="E180" s="162" t="s">
        <v>490</v>
      </c>
      <c r="F180" s="186" t="s">
        <v>6</v>
      </c>
      <c r="G180" s="186" t="s">
        <v>6</v>
      </c>
      <c r="H180" s="186" t="s">
        <v>6</v>
      </c>
      <c r="I180" s="186" t="s">
        <v>6</v>
      </c>
      <c r="J180" s="186" t="s">
        <v>6</v>
      </c>
      <c r="K180" s="186" t="s">
        <v>6</v>
      </c>
      <c r="L180" s="186" t="s">
        <v>6</v>
      </c>
      <c r="M180" s="186" t="s">
        <v>6</v>
      </c>
      <c r="N180" s="186" t="s">
        <v>6</v>
      </c>
      <c r="O180" s="186" t="s">
        <v>6</v>
      </c>
      <c r="P180" s="186" t="s">
        <v>6</v>
      </c>
      <c r="Q180" s="186" t="s">
        <v>6</v>
      </c>
      <c r="R180" s="186" t="s">
        <v>6</v>
      </c>
      <c r="S180" s="186" t="s">
        <v>7</v>
      </c>
      <c r="T180" s="186" t="s">
        <v>458</v>
      </c>
      <c r="U180" s="186" t="s">
        <v>5</v>
      </c>
      <c r="V180" s="186" t="s">
        <v>5</v>
      </c>
      <c r="W180" s="186" t="s">
        <v>5</v>
      </c>
    </row>
    <row r="181" spans="1:23" s="10" customFormat="1" ht="15.75" customHeight="1" thickBot="1">
      <c r="A181" s="151"/>
      <c r="B181" s="152"/>
      <c r="C181" s="153"/>
      <c r="D181" s="166">
        <v>2010</v>
      </c>
      <c r="E181" s="166">
        <v>2010</v>
      </c>
      <c r="F181" s="187" t="s">
        <v>10</v>
      </c>
      <c r="G181" s="187" t="s">
        <v>11</v>
      </c>
      <c r="H181" s="187" t="s">
        <v>12</v>
      </c>
      <c r="I181" s="187" t="s">
        <v>13</v>
      </c>
      <c r="J181" s="187" t="s">
        <v>14</v>
      </c>
      <c r="K181" s="187" t="s">
        <v>15</v>
      </c>
      <c r="L181" s="187" t="s">
        <v>16</v>
      </c>
      <c r="M181" s="187" t="s">
        <v>17</v>
      </c>
      <c r="N181" s="187" t="s">
        <v>18</v>
      </c>
      <c r="O181" s="187" t="s">
        <v>19</v>
      </c>
      <c r="P181" s="187" t="s">
        <v>20</v>
      </c>
      <c r="Q181" s="187" t="s">
        <v>21</v>
      </c>
      <c r="R181" s="187" t="s">
        <v>22</v>
      </c>
      <c r="S181" s="187" t="s">
        <v>23</v>
      </c>
      <c r="T181" s="187" t="s">
        <v>460</v>
      </c>
      <c r="U181" s="187" t="s">
        <v>461</v>
      </c>
      <c r="V181" s="187" t="s">
        <v>462</v>
      </c>
      <c r="W181" s="187" t="s">
        <v>459</v>
      </c>
    </row>
    <row r="182" spans="1:23" s="10" customFormat="1" ht="16.5" thickTop="1">
      <c r="A182" s="13">
        <v>50</v>
      </c>
      <c r="B182" s="14"/>
      <c r="C182" s="15" t="s">
        <v>131</v>
      </c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</row>
    <row r="183" spans="1:23" s="10" customFormat="1" ht="14.25" customHeight="1">
      <c r="A183" s="13"/>
      <c r="B183" s="14"/>
      <c r="C183" s="15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</row>
    <row r="184" spans="1:23" s="10" customFormat="1" ht="15">
      <c r="A184" s="21"/>
      <c r="B184" s="20">
        <v>3541</v>
      </c>
      <c r="C184" s="21" t="s">
        <v>132</v>
      </c>
      <c r="D184" s="134">
        <v>200</v>
      </c>
      <c r="E184" s="134">
        <v>200</v>
      </c>
      <c r="F184" s="134">
        <v>0</v>
      </c>
      <c r="G184" s="44">
        <f aca="true" t="shared" si="41" ref="G184:G212">H184-F184</f>
        <v>0</v>
      </c>
      <c r="H184" s="134">
        <v>0</v>
      </c>
      <c r="I184" s="44">
        <f aca="true" t="shared" si="42" ref="I184:I212">J184-H184</f>
        <v>0</v>
      </c>
      <c r="J184" s="134">
        <v>0</v>
      </c>
      <c r="K184" s="44">
        <f aca="true" t="shared" si="43" ref="K184:K212">L184-J184</f>
        <v>200</v>
      </c>
      <c r="L184" s="134">
        <v>200</v>
      </c>
      <c r="M184" s="44">
        <f aca="true" t="shared" si="44" ref="M184:M212">N184-L184</f>
        <v>0</v>
      </c>
      <c r="N184" s="134">
        <v>200</v>
      </c>
      <c r="O184" s="44">
        <f aca="true" t="shared" si="45" ref="O184:O212">P184-N184</f>
        <v>0</v>
      </c>
      <c r="P184" s="134">
        <v>200</v>
      </c>
      <c r="Q184" s="44">
        <f aca="true" t="shared" si="46" ref="Q184:Q212">R184-P184</f>
        <v>0</v>
      </c>
      <c r="R184" s="134">
        <v>200</v>
      </c>
      <c r="S184" s="44">
        <f aca="true" t="shared" si="47" ref="S184:S213">(R184/E184)*100</f>
        <v>100</v>
      </c>
      <c r="T184" s="140">
        <v>200</v>
      </c>
      <c r="U184" s="140">
        <v>350</v>
      </c>
      <c r="V184" s="140">
        <v>350</v>
      </c>
      <c r="W184" s="140">
        <v>350</v>
      </c>
    </row>
    <row r="185" spans="1:23" s="10" customFormat="1" ht="15">
      <c r="A185" s="21"/>
      <c r="B185" s="20">
        <v>3599</v>
      </c>
      <c r="C185" s="21" t="s">
        <v>133</v>
      </c>
      <c r="D185" s="134">
        <v>140</v>
      </c>
      <c r="E185" s="134">
        <v>140</v>
      </c>
      <c r="F185" s="134">
        <v>20</v>
      </c>
      <c r="G185" s="44">
        <f t="shared" si="41"/>
        <v>11.7</v>
      </c>
      <c r="H185" s="134">
        <v>31.7</v>
      </c>
      <c r="I185" s="44">
        <f t="shared" si="42"/>
        <v>10.000000000000004</v>
      </c>
      <c r="J185" s="134">
        <v>41.7</v>
      </c>
      <c r="K185" s="44">
        <f t="shared" si="43"/>
        <v>20</v>
      </c>
      <c r="L185" s="134">
        <v>61.7</v>
      </c>
      <c r="M185" s="44">
        <f t="shared" si="44"/>
        <v>10</v>
      </c>
      <c r="N185" s="134">
        <v>71.7</v>
      </c>
      <c r="O185" s="44">
        <f t="shared" si="45"/>
        <v>10</v>
      </c>
      <c r="P185" s="134">
        <v>81.7</v>
      </c>
      <c r="Q185" s="44">
        <f t="shared" si="46"/>
        <v>10</v>
      </c>
      <c r="R185" s="134">
        <v>91.7</v>
      </c>
      <c r="S185" s="44">
        <f t="shared" si="47"/>
        <v>65.5</v>
      </c>
      <c r="T185" s="140">
        <v>140</v>
      </c>
      <c r="U185" s="140">
        <f>140-40</f>
        <v>100</v>
      </c>
      <c r="V185" s="140">
        <v>140</v>
      </c>
      <c r="W185" s="140">
        <v>140</v>
      </c>
    </row>
    <row r="186" spans="1:23" s="10" customFormat="1" ht="15">
      <c r="A186" s="21"/>
      <c r="B186" s="20">
        <v>4171</v>
      </c>
      <c r="C186" s="21" t="s">
        <v>134</v>
      </c>
      <c r="D186" s="134">
        <v>15500</v>
      </c>
      <c r="E186" s="134">
        <v>15500</v>
      </c>
      <c r="F186" s="134">
        <v>2359.8</v>
      </c>
      <c r="G186" s="44">
        <f t="shared" si="41"/>
        <v>1296.1999999999998</v>
      </c>
      <c r="H186" s="134">
        <v>3656</v>
      </c>
      <c r="I186" s="44">
        <f t="shared" si="42"/>
        <v>1322.8000000000002</v>
      </c>
      <c r="J186" s="134">
        <v>4978.8</v>
      </c>
      <c r="K186" s="44">
        <f t="shared" si="43"/>
        <v>1309.5</v>
      </c>
      <c r="L186" s="134">
        <v>6288.3</v>
      </c>
      <c r="M186" s="44">
        <f t="shared" si="44"/>
        <v>1249.0999999999995</v>
      </c>
      <c r="N186" s="134">
        <v>7537.4</v>
      </c>
      <c r="O186" s="44">
        <f t="shared" si="45"/>
        <v>1195.300000000001</v>
      </c>
      <c r="P186" s="134">
        <v>8732.7</v>
      </c>
      <c r="Q186" s="44">
        <f t="shared" si="46"/>
        <v>1141.7999999999993</v>
      </c>
      <c r="R186" s="134">
        <v>9874.5</v>
      </c>
      <c r="S186" s="44">
        <f t="shared" si="47"/>
        <v>63.70645161290322</v>
      </c>
      <c r="T186" s="140">
        <v>15500</v>
      </c>
      <c r="U186" s="140">
        <v>15500</v>
      </c>
      <c r="V186" s="140">
        <v>15500</v>
      </c>
      <c r="W186" s="140">
        <v>15500</v>
      </c>
    </row>
    <row r="187" spans="1:23" s="10" customFormat="1" ht="15">
      <c r="A187" s="21"/>
      <c r="B187" s="20">
        <v>4172</v>
      </c>
      <c r="C187" s="21" t="s">
        <v>135</v>
      </c>
      <c r="D187" s="134">
        <v>2000</v>
      </c>
      <c r="E187" s="134">
        <v>2000</v>
      </c>
      <c r="F187" s="134">
        <v>372.6</v>
      </c>
      <c r="G187" s="44">
        <f t="shared" si="41"/>
        <v>190.60000000000002</v>
      </c>
      <c r="H187" s="134">
        <v>563.2</v>
      </c>
      <c r="I187" s="44">
        <f t="shared" si="42"/>
        <v>187.5999999999999</v>
      </c>
      <c r="J187" s="134">
        <v>750.8</v>
      </c>
      <c r="K187" s="44">
        <f t="shared" si="43"/>
        <v>202.60000000000002</v>
      </c>
      <c r="L187" s="134">
        <v>953.4</v>
      </c>
      <c r="M187" s="44">
        <f t="shared" si="44"/>
        <v>173.5000000000001</v>
      </c>
      <c r="N187" s="134">
        <v>1126.9</v>
      </c>
      <c r="O187" s="44">
        <f t="shared" si="45"/>
        <v>162.0999999999999</v>
      </c>
      <c r="P187" s="134">
        <v>1289</v>
      </c>
      <c r="Q187" s="44">
        <f t="shared" si="46"/>
        <v>127.20000000000005</v>
      </c>
      <c r="R187" s="134">
        <v>1416.2</v>
      </c>
      <c r="S187" s="44">
        <f t="shared" si="47"/>
        <v>70.81</v>
      </c>
      <c r="T187" s="140">
        <v>2000</v>
      </c>
      <c r="U187" s="140">
        <v>2000</v>
      </c>
      <c r="V187" s="140">
        <v>2000</v>
      </c>
      <c r="W187" s="140">
        <v>2000</v>
      </c>
    </row>
    <row r="188" spans="1:23" s="10" customFormat="1" ht="15">
      <c r="A188" s="21"/>
      <c r="B188" s="20">
        <v>4173</v>
      </c>
      <c r="C188" s="21" t="s">
        <v>136</v>
      </c>
      <c r="D188" s="134">
        <v>380</v>
      </c>
      <c r="E188" s="134">
        <v>380</v>
      </c>
      <c r="F188" s="134">
        <v>55.5</v>
      </c>
      <c r="G188" s="44">
        <f t="shared" si="41"/>
        <v>22.599999999999994</v>
      </c>
      <c r="H188" s="134">
        <v>78.1</v>
      </c>
      <c r="I188" s="44">
        <f t="shared" si="42"/>
        <v>22.30000000000001</v>
      </c>
      <c r="J188" s="134">
        <v>100.4</v>
      </c>
      <c r="K188" s="44">
        <f t="shared" si="43"/>
        <v>13.099999999999994</v>
      </c>
      <c r="L188" s="134">
        <v>113.5</v>
      </c>
      <c r="M188" s="44">
        <f t="shared" si="44"/>
        <v>9</v>
      </c>
      <c r="N188" s="134">
        <v>122.5</v>
      </c>
      <c r="O188" s="44">
        <f t="shared" si="45"/>
        <v>11.800000000000011</v>
      </c>
      <c r="P188" s="134">
        <v>134.3</v>
      </c>
      <c r="Q188" s="44">
        <f t="shared" si="46"/>
        <v>15.899999999999977</v>
      </c>
      <c r="R188" s="134">
        <v>150.2</v>
      </c>
      <c r="S188" s="44">
        <f t="shared" si="47"/>
        <v>39.526315789473685</v>
      </c>
      <c r="T188" s="140">
        <v>380</v>
      </c>
      <c r="U188" s="140">
        <v>380</v>
      </c>
      <c r="V188" s="140">
        <v>380</v>
      </c>
      <c r="W188" s="140">
        <v>380</v>
      </c>
    </row>
    <row r="189" spans="1:23" s="10" customFormat="1" ht="15">
      <c r="A189" s="21"/>
      <c r="B189" s="20">
        <v>4177</v>
      </c>
      <c r="C189" s="21" t="s">
        <v>137</v>
      </c>
      <c r="D189" s="134">
        <v>120</v>
      </c>
      <c r="E189" s="134">
        <v>120</v>
      </c>
      <c r="F189" s="134">
        <v>14</v>
      </c>
      <c r="G189" s="44">
        <f t="shared" si="41"/>
        <v>5</v>
      </c>
      <c r="H189" s="134">
        <v>19</v>
      </c>
      <c r="I189" s="44">
        <f t="shared" si="42"/>
        <v>7</v>
      </c>
      <c r="J189" s="134">
        <v>26</v>
      </c>
      <c r="K189" s="44">
        <f t="shared" si="43"/>
        <v>8</v>
      </c>
      <c r="L189" s="134">
        <v>34</v>
      </c>
      <c r="M189" s="44">
        <f t="shared" si="44"/>
        <v>6</v>
      </c>
      <c r="N189" s="134">
        <v>40</v>
      </c>
      <c r="O189" s="44">
        <f t="shared" si="45"/>
        <v>2</v>
      </c>
      <c r="P189" s="134">
        <v>42</v>
      </c>
      <c r="Q189" s="44">
        <f t="shared" si="46"/>
        <v>8</v>
      </c>
      <c r="R189" s="134">
        <v>50</v>
      </c>
      <c r="S189" s="44">
        <f t="shared" si="47"/>
        <v>41.66666666666667</v>
      </c>
      <c r="T189" s="140">
        <v>120</v>
      </c>
      <c r="U189" s="140">
        <v>120</v>
      </c>
      <c r="V189" s="140">
        <v>120</v>
      </c>
      <c r="W189" s="140">
        <v>120</v>
      </c>
    </row>
    <row r="190" spans="1:23" s="10" customFormat="1" ht="15" customHeight="1" hidden="1">
      <c r="A190" s="21"/>
      <c r="B190" s="20">
        <v>4179</v>
      </c>
      <c r="C190" s="21" t="s">
        <v>138</v>
      </c>
      <c r="D190" s="44"/>
      <c r="E190" s="44"/>
      <c r="F190" s="44"/>
      <c r="G190" s="44">
        <f t="shared" si="41"/>
        <v>0</v>
      </c>
      <c r="H190" s="44"/>
      <c r="I190" s="44">
        <f t="shared" si="42"/>
        <v>0</v>
      </c>
      <c r="J190" s="44"/>
      <c r="K190" s="44">
        <f t="shared" si="43"/>
        <v>0</v>
      </c>
      <c r="L190" s="44"/>
      <c r="M190" s="44">
        <f t="shared" si="44"/>
        <v>0</v>
      </c>
      <c r="N190" s="44"/>
      <c r="O190" s="44">
        <f t="shared" si="45"/>
        <v>0</v>
      </c>
      <c r="P190" s="44"/>
      <c r="Q190" s="44">
        <f t="shared" si="46"/>
        <v>0</v>
      </c>
      <c r="R190" s="44"/>
      <c r="S190" s="44" t="e">
        <f t="shared" si="47"/>
        <v>#DIV/0!</v>
      </c>
      <c r="T190" s="44"/>
      <c r="U190" s="44"/>
      <c r="V190" s="44"/>
      <c r="W190" s="44"/>
    </row>
    <row r="191" spans="1:23" s="10" customFormat="1" ht="15" customHeight="1" hidden="1">
      <c r="A191" s="21"/>
      <c r="B191" s="20">
        <v>4181</v>
      </c>
      <c r="C191" s="21" t="s">
        <v>139</v>
      </c>
      <c r="D191" s="44"/>
      <c r="E191" s="44"/>
      <c r="F191" s="44"/>
      <c r="G191" s="44">
        <f t="shared" si="41"/>
        <v>0</v>
      </c>
      <c r="H191" s="44"/>
      <c r="I191" s="44">
        <f t="shared" si="42"/>
        <v>0</v>
      </c>
      <c r="J191" s="44"/>
      <c r="K191" s="44">
        <f t="shared" si="43"/>
        <v>0</v>
      </c>
      <c r="L191" s="44"/>
      <c r="M191" s="44">
        <f t="shared" si="44"/>
        <v>0</v>
      </c>
      <c r="N191" s="44"/>
      <c r="O191" s="44">
        <f t="shared" si="45"/>
        <v>0</v>
      </c>
      <c r="P191" s="44"/>
      <c r="Q191" s="44">
        <f t="shared" si="46"/>
        <v>0</v>
      </c>
      <c r="R191" s="44"/>
      <c r="S191" s="44" t="e">
        <f t="shared" si="47"/>
        <v>#DIV/0!</v>
      </c>
      <c r="T191" s="44"/>
      <c r="U191" s="44"/>
      <c r="V191" s="44"/>
      <c r="W191" s="44"/>
    </row>
    <row r="192" spans="1:23" s="10" customFormat="1" ht="15">
      <c r="A192" s="21"/>
      <c r="B192" s="20">
        <v>4182</v>
      </c>
      <c r="C192" s="21" t="s">
        <v>140</v>
      </c>
      <c r="D192" s="134">
        <v>750</v>
      </c>
      <c r="E192" s="134">
        <v>2750</v>
      </c>
      <c r="F192" s="134">
        <v>94.5</v>
      </c>
      <c r="G192" s="44">
        <f t="shared" si="41"/>
        <v>220.8</v>
      </c>
      <c r="H192" s="134">
        <v>315.3</v>
      </c>
      <c r="I192" s="44">
        <f t="shared" si="42"/>
        <v>214.3</v>
      </c>
      <c r="J192" s="134">
        <v>529.6</v>
      </c>
      <c r="K192" s="44">
        <f t="shared" si="43"/>
        <v>385.79999999999995</v>
      </c>
      <c r="L192" s="134">
        <v>915.4</v>
      </c>
      <c r="M192" s="44">
        <f t="shared" si="44"/>
        <v>363.19999999999993</v>
      </c>
      <c r="N192" s="134">
        <v>1278.6</v>
      </c>
      <c r="O192" s="44">
        <f t="shared" si="45"/>
        <v>352.20000000000005</v>
      </c>
      <c r="P192" s="134">
        <v>1630.8</v>
      </c>
      <c r="Q192" s="44">
        <f t="shared" si="46"/>
        <v>44.100000000000136</v>
      </c>
      <c r="R192" s="134">
        <v>1674.9</v>
      </c>
      <c r="S192" s="44">
        <f t="shared" si="47"/>
        <v>60.90545454545455</v>
      </c>
      <c r="T192" s="140">
        <v>2750</v>
      </c>
      <c r="U192" s="140">
        <v>3750</v>
      </c>
      <c r="V192" s="140">
        <v>3750</v>
      </c>
      <c r="W192" s="140">
        <v>3750</v>
      </c>
    </row>
    <row r="193" spans="1:23" s="10" customFormat="1" ht="15">
      <c r="A193" s="21"/>
      <c r="B193" s="20">
        <v>4183</v>
      </c>
      <c r="C193" s="21" t="s">
        <v>141</v>
      </c>
      <c r="D193" s="134">
        <v>750</v>
      </c>
      <c r="E193" s="134">
        <v>750</v>
      </c>
      <c r="F193" s="134">
        <v>50</v>
      </c>
      <c r="G193" s="44">
        <f t="shared" si="41"/>
        <v>30</v>
      </c>
      <c r="H193" s="134">
        <v>80</v>
      </c>
      <c r="I193" s="44">
        <f t="shared" si="42"/>
        <v>40</v>
      </c>
      <c r="J193" s="134">
        <v>120</v>
      </c>
      <c r="K193" s="44">
        <f t="shared" si="43"/>
        <v>0</v>
      </c>
      <c r="L193" s="134">
        <v>120</v>
      </c>
      <c r="M193" s="44">
        <f t="shared" si="44"/>
        <v>40</v>
      </c>
      <c r="N193" s="134">
        <v>160</v>
      </c>
      <c r="O193" s="44">
        <f t="shared" si="45"/>
        <v>0</v>
      </c>
      <c r="P193" s="134">
        <v>160</v>
      </c>
      <c r="Q193" s="44">
        <f t="shared" si="46"/>
        <v>60</v>
      </c>
      <c r="R193" s="134">
        <v>220</v>
      </c>
      <c r="S193" s="44">
        <f t="shared" si="47"/>
        <v>29.333333333333332</v>
      </c>
      <c r="T193" s="140">
        <v>750</v>
      </c>
      <c r="U193" s="140">
        <v>750</v>
      </c>
      <c r="V193" s="140">
        <v>750</v>
      </c>
      <c r="W193" s="140">
        <v>750</v>
      </c>
    </row>
    <row r="194" spans="1:23" s="10" customFormat="1" ht="15">
      <c r="A194" s="21"/>
      <c r="B194" s="20">
        <v>4184</v>
      </c>
      <c r="C194" s="21" t="s">
        <v>142</v>
      </c>
      <c r="D194" s="134">
        <v>3500</v>
      </c>
      <c r="E194" s="134">
        <v>3500</v>
      </c>
      <c r="F194" s="134">
        <v>883.8</v>
      </c>
      <c r="G194" s="44">
        <f t="shared" si="41"/>
        <v>75</v>
      </c>
      <c r="H194" s="134">
        <v>958.8</v>
      </c>
      <c r="I194" s="44">
        <f t="shared" si="42"/>
        <v>240</v>
      </c>
      <c r="J194" s="134">
        <v>1198.8</v>
      </c>
      <c r="K194" s="44">
        <f t="shared" si="43"/>
        <v>110</v>
      </c>
      <c r="L194" s="134">
        <v>1308.8</v>
      </c>
      <c r="M194" s="44">
        <f t="shared" si="44"/>
        <v>240</v>
      </c>
      <c r="N194" s="134">
        <v>1548.8</v>
      </c>
      <c r="O194" s="44">
        <f t="shared" si="45"/>
        <v>50</v>
      </c>
      <c r="P194" s="134">
        <v>1598.8</v>
      </c>
      <c r="Q194" s="44">
        <f t="shared" si="46"/>
        <v>80</v>
      </c>
      <c r="R194" s="134">
        <v>1678.8</v>
      </c>
      <c r="S194" s="44">
        <f t="shared" si="47"/>
        <v>47.965714285714284</v>
      </c>
      <c r="T194" s="140">
        <v>4400</v>
      </c>
      <c r="U194" s="140">
        <v>3500</v>
      </c>
      <c r="V194" s="140">
        <v>3500</v>
      </c>
      <c r="W194" s="140">
        <v>3500</v>
      </c>
    </row>
    <row r="195" spans="1:23" s="10" customFormat="1" ht="15">
      <c r="A195" s="21"/>
      <c r="B195" s="20">
        <v>4185</v>
      </c>
      <c r="C195" s="21" t="s">
        <v>143</v>
      </c>
      <c r="D195" s="134">
        <v>7000</v>
      </c>
      <c r="E195" s="134">
        <v>5000</v>
      </c>
      <c r="F195" s="134">
        <v>1654.7</v>
      </c>
      <c r="G195" s="44">
        <f t="shared" si="41"/>
        <v>407.4999999999998</v>
      </c>
      <c r="H195" s="134">
        <v>2062.2</v>
      </c>
      <c r="I195" s="44">
        <f t="shared" si="42"/>
        <v>611.8000000000002</v>
      </c>
      <c r="J195" s="134">
        <v>2674</v>
      </c>
      <c r="K195" s="44">
        <f t="shared" si="43"/>
        <v>340.5999999999999</v>
      </c>
      <c r="L195" s="134">
        <v>3014.6</v>
      </c>
      <c r="M195" s="44">
        <f t="shared" si="44"/>
        <v>178.9000000000001</v>
      </c>
      <c r="N195" s="134">
        <v>3193.5</v>
      </c>
      <c r="O195" s="44">
        <f t="shared" si="45"/>
        <v>68</v>
      </c>
      <c r="P195" s="134">
        <v>3261.5</v>
      </c>
      <c r="Q195" s="44">
        <f t="shared" si="46"/>
        <v>17.300000000000182</v>
      </c>
      <c r="R195" s="134">
        <v>3278.8</v>
      </c>
      <c r="S195" s="44">
        <f t="shared" si="47"/>
        <v>65.57600000000001</v>
      </c>
      <c r="T195" s="140">
        <v>3500</v>
      </c>
      <c r="U195" s="140">
        <v>4000</v>
      </c>
      <c r="V195" s="140">
        <v>4000</v>
      </c>
      <c r="W195" s="140">
        <v>4000</v>
      </c>
    </row>
    <row r="196" spans="1:23" s="10" customFormat="1" ht="15">
      <c r="A196" s="21"/>
      <c r="B196" s="20">
        <v>4186</v>
      </c>
      <c r="C196" s="21" t="s">
        <v>144</v>
      </c>
      <c r="D196" s="134">
        <v>100</v>
      </c>
      <c r="E196" s="134">
        <v>100</v>
      </c>
      <c r="F196" s="134">
        <v>6.5</v>
      </c>
      <c r="G196" s="44">
        <f t="shared" si="41"/>
        <v>13</v>
      </c>
      <c r="H196" s="134">
        <v>19.5</v>
      </c>
      <c r="I196" s="44">
        <f t="shared" si="42"/>
        <v>6.399999999999999</v>
      </c>
      <c r="J196" s="134">
        <v>25.9</v>
      </c>
      <c r="K196" s="44">
        <f t="shared" si="43"/>
        <v>0</v>
      </c>
      <c r="L196" s="134">
        <v>25.9</v>
      </c>
      <c r="M196" s="44">
        <f t="shared" si="44"/>
        <v>0</v>
      </c>
      <c r="N196" s="134">
        <v>25.9</v>
      </c>
      <c r="O196" s="44">
        <f t="shared" si="45"/>
        <v>0</v>
      </c>
      <c r="P196" s="134">
        <v>25.9</v>
      </c>
      <c r="Q196" s="44">
        <f t="shared" si="46"/>
        <v>0</v>
      </c>
      <c r="R196" s="134">
        <v>25.9</v>
      </c>
      <c r="S196" s="44">
        <f t="shared" si="47"/>
        <v>25.900000000000002</v>
      </c>
      <c r="T196" s="140">
        <v>100</v>
      </c>
      <c r="U196" s="140">
        <v>100</v>
      </c>
      <c r="V196" s="140">
        <v>100</v>
      </c>
      <c r="W196" s="140">
        <v>100</v>
      </c>
    </row>
    <row r="197" spans="1:23" s="10" customFormat="1" ht="15" customHeight="1" hidden="1">
      <c r="A197" s="21"/>
      <c r="B197" s="20">
        <v>4189</v>
      </c>
      <c r="C197" s="21" t="s">
        <v>145</v>
      </c>
      <c r="D197" s="44"/>
      <c r="E197" s="44"/>
      <c r="F197" s="44"/>
      <c r="G197" s="44">
        <f t="shared" si="41"/>
        <v>0</v>
      </c>
      <c r="H197" s="44"/>
      <c r="I197" s="44">
        <f t="shared" si="42"/>
        <v>0</v>
      </c>
      <c r="J197" s="44"/>
      <c r="K197" s="44">
        <f t="shared" si="43"/>
        <v>0</v>
      </c>
      <c r="L197" s="44"/>
      <c r="M197" s="44">
        <f t="shared" si="44"/>
        <v>0</v>
      </c>
      <c r="N197" s="44"/>
      <c r="O197" s="44">
        <f t="shared" si="45"/>
        <v>0</v>
      </c>
      <c r="P197" s="44"/>
      <c r="Q197" s="44">
        <f t="shared" si="46"/>
        <v>0</v>
      </c>
      <c r="R197" s="44"/>
      <c r="S197" s="44" t="e">
        <f t="shared" si="47"/>
        <v>#DIV/0!</v>
      </c>
      <c r="T197" s="44"/>
      <c r="U197" s="44"/>
      <c r="V197" s="44"/>
      <c r="W197" s="44"/>
    </row>
    <row r="198" spans="1:23" s="10" customFormat="1" ht="15">
      <c r="A198" s="21"/>
      <c r="B198" s="20">
        <v>4195</v>
      </c>
      <c r="C198" s="21" t="s">
        <v>146</v>
      </c>
      <c r="D198" s="134">
        <v>105000</v>
      </c>
      <c r="E198" s="134">
        <v>105000</v>
      </c>
      <c r="F198" s="134">
        <v>17887</v>
      </c>
      <c r="G198" s="44">
        <f t="shared" si="41"/>
        <v>9000</v>
      </c>
      <c r="H198" s="134">
        <v>26887</v>
      </c>
      <c r="I198" s="44">
        <f t="shared" si="42"/>
        <v>8941</v>
      </c>
      <c r="J198" s="134">
        <v>35828</v>
      </c>
      <c r="K198" s="44">
        <f t="shared" si="43"/>
        <v>9047</v>
      </c>
      <c r="L198" s="134">
        <v>44875</v>
      </c>
      <c r="M198" s="44">
        <f t="shared" si="44"/>
        <v>9069</v>
      </c>
      <c r="N198" s="134">
        <v>53944</v>
      </c>
      <c r="O198" s="44">
        <f t="shared" si="45"/>
        <v>9114</v>
      </c>
      <c r="P198" s="134">
        <v>63058</v>
      </c>
      <c r="Q198" s="44">
        <f t="shared" si="46"/>
        <v>9113</v>
      </c>
      <c r="R198" s="134">
        <v>72171</v>
      </c>
      <c r="S198" s="44">
        <f t="shared" si="47"/>
        <v>68.73428571428572</v>
      </c>
      <c r="T198" s="140">
        <v>109000</v>
      </c>
      <c r="U198" s="140">
        <v>109000</v>
      </c>
      <c r="V198" s="140">
        <v>109000</v>
      </c>
      <c r="W198" s="140">
        <v>109000</v>
      </c>
    </row>
    <row r="199" spans="1:23" s="10" customFormat="1" ht="15">
      <c r="A199" s="68"/>
      <c r="B199" s="20">
        <v>4329</v>
      </c>
      <c r="C199" s="21" t="s">
        <v>147</v>
      </c>
      <c r="D199" s="134">
        <v>40</v>
      </c>
      <c r="E199" s="134">
        <v>40</v>
      </c>
      <c r="F199" s="134">
        <v>0</v>
      </c>
      <c r="G199" s="44">
        <f t="shared" si="41"/>
        <v>0</v>
      </c>
      <c r="H199" s="134">
        <v>0</v>
      </c>
      <c r="I199" s="44">
        <f t="shared" si="42"/>
        <v>0</v>
      </c>
      <c r="J199" s="134">
        <v>0</v>
      </c>
      <c r="K199" s="44">
        <f t="shared" si="43"/>
        <v>0</v>
      </c>
      <c r="L199" s="134">
        <v>0</v>
      </c>
      <c r="M199" s="44">
        <f t="shared" si="44"/>
        <v>0</v>
      </c>
      <c r="N199" s="134">
        <v>0</v>
      </c>
      <c r="O199" s="44">
        <f t="shared" si="45"/>
        <v>0</v>
      </c>
      <c r="P199" s="134">
        <v>0</v>
      </c>
      <c r="Q199" s="44">
        <f t="shared" si="46"/>
        <v>0</v>
      </c>
      <c r="R199" s="134">
        <v>0</v>
      </c>
      <c r="S199" s="44">
        <f t="shared" si="47"/>
        <v>0</v>
      </c>
      <c r="T199" s="140">
        <v>40</v>
      </c>
      <c r="U199" s="140">
        <v>40</v>
      </c>
      <c r="V199" s="140">
        <v>40</v>
      </c>
      <c r="W199" s="140">
        <v>40</v>
      </c>
    </row>
    <row r="200" spans="1:23" s="10" customFormat="1" ht="15">
      <c r="A200" s="21"/>
      <c r="B200" s="20">
        <v>4333</v>
      </c>
      <c r="C200" s="21" t="s">
        <v>148</v>
      </c>
      <c r="D200" s="134">
        <v>100</v>
      </c>
      <c r="E200" s="134">
        <v>100</v>
      </c>
      <c r="F200" s="134">
        <v>0</v>
      </c>
      <c r="G200" s="44">
        <f t="shared" si="41"/>
        <v>0</v>
      </c>
      <c r="H200" s="134">
        <v>0</v>
      </c>
      <c r="I200" s="44">
        <f t="shared" si="42"/>
        <v>0</v>
      </c>
      <c r="J200" s="134">
        <v>0</v>
      </c>
      <c r="K200" s="44">
        <f t="shared" si="43"/>
        <v>100</v>
      </c>
      <c r="L200" s="134">
        <v>100</v>
      </c>
      <c r="M200" s="44">
        <f t="shared" si="44"/>
        <v>0</v>
      </c>
      <c r="N200" s="134">
        <v>100</v>
      </c>
      <c r="O200" s="44">
        <f t="shared" si="45"/>
        <v>0</v>
      </c>
      <c r="P200" s="134">
        <v>100</v>
      </c>
      <c r="Q200" s="44">
        <f t="shared" si="46"/>
        <v>0</v>
      </c>
      <c r="R200" s="134">
        <v>100</v>
      </c>
      <c r="S200" s="44">
        <f t="shared" si="47"/>
        <v>100</v>
      </c>
      <c r="T200" s="140">
        <v>100</v>
      </c>
      <c r="U200" s="140">
        <v>115</v>
      </c>
      <c r="V200" s="140">
        <v>115</v>
      </c>
      <c r="W200" s="140">
        <v>115</v>
      </c>
    </row>
    <row r="201" spans="1:23" s="10" customFormat="1" ht="15" customHeight="1" hidden="1">
      <c r="A201" s="21"/>
      <c r="B201" s="20">
        <v>4341</v>
      </c>
      <c r="C201" s="21" t="s">
        <v>149</v>
      </c>
      <c r="D201" s="134">
        <v>0</v>
      </c>
      <c r="E201" s="134">
        <v>0</v>
      </c>
      <c r="F201" s="134"/>
      <c r="G201" s="44">
        <f t="shared" si="41"/>
        <v>0</v>
      </c>
      <c r="H201" s="134"/>
      <c r="I201" s="44">
        <f t="shared" si="42"/>
        <v>0</v>
      </c>
      <c r="J201" s="134"/>
      <c r="K201" s="44">
        <f t="shared" si="43"/>
        <v>0</v>
      </c>
      <c r="L201" s="134"/>
      <c r="M201" s="44">
        <f t="shared" si="44"/>
        <v>0</v>
      </c>
      <c r="N201" s="134"/>
      <c r="O201" s="44">
        <f t="shared" si="45"/>
        <v>0</v>
      </c>
      <c r="P201" s="134"/>
      <c r="Q201" s="44">
        <f t="shared" si="46"/>
        <v>0</v>
      </c>
      <c r="R201" s="134"/>
      <c r="S201" s="44" t="e">
        <f t="shared" si="47"/>
        <v>#DIV/0!</v>
      </c>
      <c r="T201" s="140"/>
      <c r="U201" s="140"/>
      <c r="V201" s="140"/>
      <c r="W201" s="140"/>
    </row>
    <row r="202" spans="1:23" s="10" customFormat="1" ht="15">
      <c r="A202" s="21"/>
      <c r="B202" s="20">
        <v>4342</v>
      </c>
      <c r="C202" s="21" t="s">
        <v>150</v>
      </c>
      <c r="D202" s="134">
        <v>50</v>
      </c>
      <c r="E202" s="134">
        <v>9.5</v>
      </c>
      <c r="F202" s="134">
        <v>0</v>
      </c>
      <c r="G202" s="44">
        <f t="shared" si="41"/>
        <v>0</v>
      </c>
      <c r="H202" s="134">
        <v>0</v>
      </c>
      <c r="I202" s="44">
        <f t="shared" si="42"/>
        <v>0</v>
      </c>
      <c r="J202" s="134">
        <v>0</v>
      </c>
      <c r="K202" s="44">
        <f t="shared" si="43"/>
        <v>0</v>
      </c>
      <c r="L202" s="134">
        <v>0</v>
      </c>
      <c r="M202" s="44">
        <f t="shared" si="44"/>
        <v>0</v>
      </c>
      <c r="N202" s="134">
        <v>0</v>
      </c>
      <c r="O202" s="44">
        <f t="shared" si="45"/>
        <v>0</v>
      </c>
      <c r="P202" s="134">
        <v>0</v>
      </c>
      <c r="Q202" s="44">
        <f t="shared" si="46"/>
        <v>0</v>
      </c>
      <c r="R202" s="134">
        <v>0</v>
      </c>
      <c r="S202" s="44">
        <f t="shared" si="47"/>
        <v>0</v>
      </c>
      <c r="T202" s="140">
        <v>50</v>
      </c>
      <c r="U202" s="140">
        <v>20</v>
      </c>
      <c r="V202" s="140">
        <v>50</v>
      </c>
      <c r="W202" s="140">
        <v>50</v>
      </c>
    </row>
    <row r="203" spans="1:23" s="10" customFormat="1" ht="15">
      <c r="A203" s="21"/>
      <c r="B203" s="20">
        <v>4349</v>
      </c>
      <c r="C203" s="21" t="s">
        <v>151</v>
      </c>
      <c r="D203" s="134">
        <v>290</v>
      </c>
      <c r="E203" s="134">
        <v>575</v>
      </c>
      <c r="F203" s="134">
        <v>0</v>
      </c>
      <c r="G203" s="44">
        <f t="shared" si="41"/>
        <v>0</v>
      </c>
      <c r="H203" s="134">
        <v>0</v>
      </c>
      <c r="I203" s="44">
        <f t="shared" si="42"/>
        <v>0</v>
      </c>
      <c r="J203" s="134">
        <v>0</v>
      </c>
      <c r="K203" s="44">
        <f t="shared" si="43"/>
        <v>571</v>
      </c>
      <c r="L203" s="134">
        <v>571</v>
      </c>
      <c r="M203" s="44">
        <f t="shared" si="44"/>
        <v>-1.1000000000000227</v>
      </c>
      <c r="N203" s="134">
        <v>569.9</v>
      </c>
      <c r="O203" s="44">
        <f t="shared" si="45"/>
        <v>0</v>
      </c>
      <c r="P203" s="134">
        <v>569.9</v>
      </c>
      <c r="Q203" s="44">
        <f t="shared" si="46"/>
        <v>0</v>
      </c>
      <c r="R203" s="134">
        <v>569.9</v>
      </c>
      <c r="S203" s="44">
        <f t="shared" si="47"/>
        <v>99.11304347826086</v>
      </c>
      <c r="T203" s="140">
        <v>570</v>
      </c>
      <c r="U203" s="140">
        <f>562-150</f>
        <v>412</v>
      </c>
      <c r="V203" s="140">
        <v>562</v>
      </c>
      <c r="W203" s="140">
        <v>562</v>
      </c>
    </row>
    <row r="204" spans="1:23" s="10" customFormat="1" ht="15">
      <c r="A204" s="68"/>
      <c r="B204" s="69">
        <v>4351</v>
      </c>
      <c r="C204" s="68" t="s">
        <v>152</v>
      </c>
      <c r="D204" s="134">
        <v>1525</v>
      </c>
      <c r="E204" s="134">
        <v>1525</v>
      </c>
      <c r="F204" s="134">
        <v>0</v>
      </c>
      <c r="G204" s="44">
        <f t="shared" si="41"/>
        <v>0</v>
      </c>
      <c r="H204" s="134">
        <v>0</v>
      </c>
      <c r="I204" s="44">
        <f t="shared" si="42"/>
        <v>0</v>
      </c>
      <c r="J204" s="134">
        <v>0</v>
      </c>
      <c r="K204" s="44">
        <f t="shared" si="43"/>
        <v>685</v>
      </c>
      <c r="L204" s="134">
        <v>685</v>
      </c>
      <c r="M204" s="44">
        <f t="shared" si="44"/>
        <v>420</v>
      </c>
      <c r="N204" s="134">
        <v>1105</v>
      </c>
      <c r="O204" s="44">
        <f t="shared" si="45"/>
        <v>0</v>
      </c>
      <c r="P204" s="134">
        <v>1105</v>
      </c>
      <c r="Q204" s="44">
        <f t="shared" si="46"/>
        <v>420</v>
      </c>
      <c r="R204" s="134">
        <v>1525</v>
      </c>
      <c r="S204" s="44">
        <f t="shared" si="47"/>
        <v>100</v>
      </c>
      <c r="T204" s="140">
        <v>1525</v>
      </c>
      <c r="U204" s="140">
        <v>1841</v>
      </c>
      <c r="V204" s="140">
        <v>1841</v>
      </c>
      <c r="W204" s="140">
        <v>1841</v>
      </c>
    </row>
    <row r="205" spans="1:23" s="10" customFormat="1" ht="15">
      <c r="A205" s="68"/>
      <c r="B205" s="69">
        <v>4356</v>
      </c>
      <c r="C205" s="68" t="s">
        <v>153</v>
      </c>
      <c r="D205" s="134">
        <v>200</v>
      </c>
      <c r="E205" s="134">
        <v>200</v>
      </c>
      <c r="F205" s="134">
        <v>0</v>
      </c>
      <c r="G205" s="44">
        <f t="shared" si="41"/>
        <v>0</v>
      </c>
      <c r="H205" s="134">
        <v>0</v>
      </c>
      <c r="I205" s="44">
        <f t="shared" si="42"/>
        <v>0</v>
      </c>
      <c r="J205" s="134">
        <v>0</v>
      </c>
      <c r="K205" s="44">
        <f t="shared" si="43"/>
        <v>200</v>
      </c>
      <c r="L205" s="134">
        <v>200</v>
      </c>
      <c r="M205" s="44">
        <f t="shared" si="44"/>
        <v>0</v>
      </c>
      <c r="N205" s="134">
        <v>200</v>
      </c>
      <c r="O205" s="44">
        <f t="shared" si="45"/>
        <v>0</v>
      </c>
      <c r="P205" s="134">
        <v>200</v>
      </c>
      <c r="Q205" s="44">
        <f t="shared" si="46"/>
        <v>0</v>
      </c>
      <c r="R205" s="134">
        <v>200</v>
      </c>
      <c r="S205" s="44">
        <f t="shared" si="47"/>
        <v>100</v>
      </c>
      <c r="T205" s="140">
        <v>200</v>
      </c>
      <c r="U205" s="140">
        <v>500</v>
      </c>
      <c r="V205" s="140">
        <v>500</v>
      </c>
      <c r="W205" s="140">
        <v>500</v>
      </c>
    </row>
    <row r="206" spans="1:23" s="10" customFormat="1" ht="15">
      <c r="A206" s="68"/>
      <c r="B206" s="69">
        <v>4357</v>
      </c>
      <c r="C206" s="68" t="s">
        <v>154</v>
      </c>
      <c r="D206" s="134">
        <v>7700</v>
      </c>
      <c r="E206" s="134">
        <v>7700</v>
      </c>
      <c r="F206" s="134">
        <v>3800</v>
      </c>
      <c r="G206" s="44">
        <f t="shared" si="41"/>
        <v>1000</v>
      </c>
      <c r="H206" s="134">
        <v>4800</v>
      </c>
      <c r="I206" s="44">
        <f t="shared" si="42"/>
        <v>0</v>
      </c>
      <c r="J206" s="134">
        <v>4800</v>
      </c>
      <c r="K206" s="44">
        <f t="shared" si="43"/>
        <v>700</v>
      </c>
      <c r="L206" s="134">
        <v>5500</v>
      </c>
      <c r="M206" s="44">
        <f t="shared" si="44"/>
        <v>700</v>
      </c>
      <c r="N206" s="134">
        <v>6200</v>
      </c>
      <c r="O206" s="44">
        <f t="shared" si="45"/>
        <v>900</v>
      </c>
      <c r="P206" s="134">
        <v>7100</v>
      </c>
      <c r="Q206" s="44">
        <f t="shared" si="46"/>
        <v>0</v>
      </c>
      <c r="R206" s="134">
        <v>7100</v>
      </c>
      <c r="S206" s="44">
        <f t="shared" si="47"/>
        <v>92.20779220779221</v>
      </c>
      <c r="T206" s="140">
        <v>8200</v>
      </c>
      <c r="U206" s="140">
        <v>8200</v>
      </c>
      <c r="V206" s="140">
        <v>8200</v>
      </c>
      <c r="W206" s="140">
        <v>8200</v>
      </c>
    </row>
    <row r="207" spans="1:23" s="10" customFormat="1" ht="15">
      <c r="A207" s="68"/>
      <c r="B207" s="69">
        <v>4357</v>
      </c>
      <c r="C207" s="68" t="s">
        <v>155</v>
      </c>
      <c r="D207" s="134">
        <v>350</v>
      </c>
      <c r="E207" s="134">
        <v>350</v>
      </c>
      <c r="F207" s="134">
        <v>0</v>
      </c>
      <c r="G207" s="44">
        <f t="shared" si="41"/>
        <v>0</v>
      </c>
      <c r="H207" s="134">
        <v>0</v>
      </c>
      <c r="I207" s="44">
        <f t="shared" si="42"/>
        <v>0</v>
      </c>
      <c r="J207" s="134">
        <v>0</v>
      </c>
      <c r="K207" s="44">
        <f t="shared" si="43"/>
        <v>175</v>
      </c>
      <c r="L207" s="134">
        <v>175</v>
      </c>
      <c r="M207" s="44">
        <f t="shared" si="44"/>
        <v>175</v>
      </c>
      <c r="N207" s="134">
        <v>350</v>
      </c>
      <c r="O207" s="44">
        <f t="shared" si="45"/>
        <v>0</v>
      </c>
      <c r="P207" s="134">
        <v>350</v>
      </c>
      <c r="Q207" s="44">
        <f t="shared" si="46"/>
        <v>0</v>
      </c>
      <c r="R207" s="134">
        <v>350</v>
      </c>
      <c r="S207" s="44">
        <f t="shared" si="47"/>
        <v>100</v>
      </c>
      <c r="T207" s="140">
        <v>350</v>
      </c>
      <c r="U207" s="140">
        <v>450</v>
      </c>
      <c r="V207" s="140">
        <v>450</v>
      </c>
      <c r="W207" s="140">
        <v>450</v>
      </c>
    </row>
    <row r="208" spans="1:23" s="10" customFormat="1" ht="15">
      <c r="A208" s="68"/>
      <c r="B208" s="155">
        <v>4359</v>
      </c>
      <c r="C208" s="91" t="s">
        <v>156</v>
      </c>
      <c r="D208" s="135">
        <v>50</v>
      </c>
      <c r="E208" s="135">
        <v>50</v>
      </c>
      <c r="F208" s="135">
        <v>0</v>
      </c>
      <c r="G208" s="44">
        <f t="shared" si="41"/>
        <v>0</v>
      </c>
      <c r="H208" s="135">
        <v>0</v>
      </c>
      <c r="I208" s="44">
        <f t="shared" si="42"/>
        <v>0</v>
      </c>
      <c r="J208" s="135">
        <v>0</v>
      </c>
      <c r="K208" s="44">
        <f t="shared" si="43"/>
        <v>50</v>
      </c>
      <c r="L208" s="135">
        <v>50</v>
      </c>
      <c r="M208" s="44">
        <f t="shared" si="44"/>
        <v>0</v>
      </c>
      <c r="N208" s="135">
        <v>50</v>
      </c>
      <c r="O208" s="44">
        <f t="shared" si="45"/>
        <v>0</v>
      </c>
      <c r="P208" s="135">
        <v>50</v>
      </c>
      <c r="Q208" s="44">
        <f t="shared" si="46"/>
        <v>0</v>
      </c>
      <c r="R208" s="135">
        <v>50</v>
      </c>
      <c r="S208" s="44">
        <f t="shared" si="47"/>
        <v>100</v>
      </c>
      <c r="T208" s="207">
        <v>50</v>
      </c>
      <c r="U208" s="207">
        <v>75</v>
      </c>
      <c r="V208" s="207">
        <v>75</v>
      </c>
      <c r="W208" s="207">
        <v>75</v>
      </c>
    </row>
    <row r="209" spans="1:23" s="10" customFormat="1" ht="15">
      <c r="A209" s="21"/>
      <c r="B209" s="20">
        <v>4371</v>
      </c>
      <c r="C209" s="47" t="s">
        <v>157</v>
      </c>
      <c r="D209" s="134">
        <v>300</v>
      </c>
      <c r="E209" s="134">
        <v>300</v>
      </c>
      <c r="F209" s="134">
        <v>0</v>
      </c>
      <c r="G209" s="44">
        <f t="shared" si="41"/>
        <v>0</v>
      </c>
      <c r="H209" s="134">
        <v>0</v>
      </c>
      <c r="I209" s="44">
        <f t="shared" si="42"/>
        <v>0</v>
      </c>
      <c r="J209" s="134">
        <v>0</v>
      </c>
      <c r="K209" s="44">
        <f t="shared" si="43"/>
        <v>150</v>
      </c>
      <c r="L209" s="134">
        <v>150</v>
      </c>
      <c r="M209" s="44">
        <f t="shared" si="44"/>
        <v>150</v>
      </c>
      <c r="N209" s="134">
        <v>300</v>
      </c>
      <c r="O209" s="44">
        <f t="shared" si="45"/>
        <v>0</v>
      </c>
      <c r="P209" s="134">
        <v>300</v>
      </c>
      <c r="Q209" s="44">
        <f t="shared" si="46"/>
        <v>0</v>
      </c>
      <c r="R209" s="134">
        <v>300</v>
      </c>
      <c r="S209" s="44">
        <f t="shared" si="47"/>
        <v>100</v>
      </c>
      <c r="T209" s="140">
        <v>300</v>
      </c>
      <c r="U209" s="140">
        <v>400</v>
      </c>
      <c r="V209" s="140">
        <v>400</v>
      </c>
      <c r="W209" s="140">
        <v>400</v>
      </c>
    </row>
    <row r="210" spans="1:23" s="10" customFormat="1" ht="15">
      <c r="A210" s="21"/>
      <c r="B210" s="20">
        <v>4374</v>
      </c>
      <c r="C210" s="21" t="s">
        <v>158</v>
      </c>
      <c r="D210" s="134">
        <v>200</v>
      </c>
      <c r="E210" s="134">
        <v>200</v>
      </c>
      <c r="F210" s="134">
        <v>0</v>
      </c>
      <c r="G210" s="44">
        <f t="shared" si="41"/>
        <v>0</v>
      </c>
      <c r="H210" s="134">
        <v>0</v>
      </c>
      <c r="I210" s="44">
        <f t="shared" si="42"/>
        <v>0</v>
      </c>
      <c r="J210" s="134">
        <v>0</v>
      </c>
      <c r="K210" s="44">
        <f t="shared" si="43"/>
        <v>200</v>
      </c>
      <c r="L210" s="134">
        <v>200</v>
      </c>
      <c r="M210" s="44">
        <f t="shared" si="44"/>
        <v>0</v>
      </c>
      <c r="N210" s="134">
        <v>200</v>
      </c>
      <c r="O210" s="44">
        <f t="shared" si="45"/>
        <v>0</v>
      </c>
      <c r="P210" s="134">
        <v>200</v>
      </c>
      <c r="Q210" s="44">
        <f t="shared" si="46"/>
        <v>0</v>
      </c>
      <c r="R210" s="134">
        <v>200</v>
      </c>
      <c r="S210" s="44">
        <f t="shared" si="47"/>
        <v>100</v>
      </c>
      <c r="T210" s="140">
        <v>200</v>
      </c>
      <c r="U210" s="140">
        <v>250</v>
      </c>
      <c r="V210" s="140">
        <v>250</v>
      </c>
      <c r="W210" s="140">
        <v>250</v>
      </c>
    </row>
    <row r="211" spans="1:23" s="10" customFormat="1" ht="15">
      <c r="A211" s="68"/>
      <c r="B211" s="69">
        <v>4399</v>
      </c>
      <c r="C211" s="68" t="s">
        <v>159</v>
      </c>
      <c r="D211" s="135">
        <v>55</v>
      </c>
      <c r="E211" s="135">
        <v>113.9</v>
      </c>
      <c r="F211" s="135">
        <v>5</v>
      </c>
      <c r="G211" s="44">
        <f t="shared" si="41"/>
        <v>13.5</v>
      </c>
      <c r="H211" s="135">
        <v>18.5</v>
      </c>
      <c r="I211" s="44">
        <f t="shared" si="42"/>
        <v>1.1999999999999993</v>
      </c>
      <c r="J211" s="135">
        <v>19.7</v>
      </c>
      <c r="K211" s="44">
        <f t="shared" si="43"/>
        <v>0</v>
      </c>
      <c r="L211" s="135">
        <v>19.7</v>
      </c>
      <c r="M211" s="44">
        <f t="shared" si="44"/>
        <v>0.1999999999999993</v>
      </c>
      <c r="N211" s="135">
        <v>19.9</v>
      </c>
      <c r="O211" s="44">
        <f t="shared" si="45"/>
        <v>0</v>
      </c>
      <c r="P211" s="135">
        <v>19.9</v>
      </c>
      <c r="Q211" s="44">
        <f t="shared" si="46"/>
        <v>0</v>
      </c>
      <c r="R211" s="135">
        <v>19.9</v>
      </c>
      <c r="S211" s="44">
        <f t="shared" si="47"/>
        <v>17.471466198419662</v>
      </c>
      <c r="T211" s="207">
        <v>55</v>
      </c>
      <c r="U211" s="207">
        <v>55</v>
      </c>
      <c r="V211" s="207">
        <v>55</v>
      </c>
      <c r="W211" s="207">
        <v>55</v>
      </c>
    </row>
    <row r="212" spans="1:23" s="10" customFormat="1" ht="15" customHeight="1">
      <c r="A212" s="68"/>
      <c r="B212" s="69">
        <v>6171</v>
      </c>
      <c r="C212" s="68" t="s">
        <v>160</v>
      </c>
      <c r="D212" s="139">
        <v>600</v>
      </c>
      <c r="E212" s="139">
        <v>600</v>
      </c>
      <c r="F212" s="139">
        <v>33</v>
      </c>
      <c r="G212" s="44">
        <f t="shared" si="41"/>
        <v>21.5</v>
      </c>
      <c r="H212" s="139">
        <v>54.5</v>
      </c>
      <c r="I212" s="44">
        <f t="shared" si="42"/>
        <v>25</v>
      </c>
      <c r="J212" s="139">
        <v>79.5</v>
      </c>
      <c r="K212" s="44">
        <f t="shared" si="43"/>
        <v>15</v>
      </c>
      <c r="L212" s="139">
        <v>94.5</v>
      </c>
      <c r="M212" s="44">
        <f t="shared" si="44"/>
        <v>-27</v>
      </c>
      <c r="N212" s="139">
        <v>67.5</v>
      </c>
      <c r="O212" s="44">
        <f t="shared" si="45"/>
        <v>-12.5</v>
      </c>
      <c r="P212" s="139">
        <v>55</v>
      </c>
      <c r="Q212" s="44">
        <f t="shared" si="46"/>
        <v>37.5</v>
      </c>
      <c r="R212" s="139">
        <v>92.5</v>
      </c>
      <c r="S212" s="44">
        <f t="shared" si="47"/>
        <v>15.416666666666668</v>
      </c>
      <c r="T212" s="139">
        <v>600</v>
      </c>
      <c r="U212" s="139">
        <f>600-200</f>
        <v>400</v>
      </c>
      <c r="V212" s="139">
        <v>600</v>
      </c>
      <c r="W212" s="139">
        <v>600</v>
      </c>
    </row>
    <row r="213" spans="1:23" s="10" customFormat="1" ht="15">
      <c r="A213" s="68"/>
      <c r="B213" s="69">
        <v>6402</v>
      </c>
      <c r="C213" s="68" t="s">
        <v>161</v>
      </c>
      <c r="D213" s="139">
        <v>0</v>
      </c>
      <c r="E213" s="139">
        <v>4.6</v>
      </c>
      <c r="F213" s="139">
        <v>0</v>
      </c>
      <c r="G213" s="44">
        <f>H213-F213</f>
        <v>0</v>
      </c>
      <c r="H213" s="135">
        <v>0</v>
      </c>
      <c r="I213" s="44">
        <f>J213-H213</f>
        <v>4.6</v>
      </c>
      <c r="J213" s="135">
        <v>4.6</v>
      </c>
      <c r="K213" s="44">
        <f>L213-J213</f>
        <v>0</v>
      </c>
      <c r="L213" s="135">
        <v>4.6</v>
      </c>
      <c r="M213" s="44">
        <f>N213-L213</f>
        <v>0</v>
      </c>
      <c r="N213" s="135">
        <v>4.6</v>
      </c>
      <c r="O213" s="44">
        <f>P213-N213</f>
        <v>0</v>
      </c>
      <c r="P213" s="135">
        <v>4.6</v>
      </c>
      <c r="Q213" s="44">
        <f>R213-P213</f>
        <v>0</v>
      </c>
      <c r="R213" s="135">
        <v>4.6</v>
      </c>
      <c r="S213" s="44">
        <f t="shared" si="47"/>
        <v>100</v>
      </c>
      <c r="T213" s="139">
        <v>0</v>
      </c>
      <c r="U213" s="139">
        <f>100-50</f>
        <v>50</v>
      </c>
      <c r="V213" s="139">
        <v>100</v>
      </c>
      <c r="W213" s="139">
        <v>100</v>
      </c>
    </row>
    <row r="214" spans="1:23" s="10" customFormat="1" ht="15" customHeight="1" hidden="1">
      <c r="A214" s="68"/>
      <c r="B214" s="69">
        <v>6409</v>
      </c>
      <c r="C214" s="68" t="s">
        <v>162</v>
      </c>
      <c r="D214" s="139">
        <v>0</v>
      </c>
      <c r="E214" s="139">
        <v>0</v>
      </c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44" t="e">
        <f>(F214/E214)*100</f>
        <v>#DIV/0!</v>
      </c>
      <c r="T214" s="139">
        <v>0</v>
      </c>
      <c r="U214" s="139">
        <v>0</v>
      </c>
      <c r="V214" s="139">
        <v>0</v>
      </c>
      <c r="W214" s="139">
        <v>0</v>
      </c>
    </row>
    <row r="215" spans="1:23" s="10" customFormat="1" ht="15" customHeight="1" thickBot="1">
      <c r="A215" s="68"/>
      <c r="B215" s="69">
        <v>4343</v>
      </c>
      <c r="C215" s="68" t="s">
        <v>475</v>
      </c>
      <c r="D215" s="139">
        <v>0</v>
      </c>
      <c r="E215" s="139">
        <v>0</v>
      </c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>
        <v>0</v>
      </c>
      <c r="S215" s="44" t="e">
        <f>(F215/E215)*100</f>
        <v>#DIV/0!</v>
      </c>
      <c r="T215" s="139">
        <v>0</v>
      </c>
      <c r="U215" s="139">
        <v>50</v>
      </c>
      <c r="V215" s="139">
        <v>100</v>
      </c>
      <c r="W215" s="139">
        <v>100</v>
      </c>
    </row>
    <row r="216" spans="1:23" s="10" customFormat="1" ht="18.75" customHeight="1" thickBot="1" thickTop="1">
      <c r="A216" s="59"/>
      <c r="B216" s="27"/>
      <c r="C216" s="28" t="s">
        <v>163</v>
      </c>
      <c r="D216" s="138">
        <f aca="true" t="shared" si="48" ref="D216:P216">SUM(D184:D215)</f>
        <v>146900</v>
      </c>
      <c r="E216" s="138">
        <f t="shared" si="48"/>
        <v>147208</v>
      </c>
      <c r="F216" s="138">
        <f t="shared" si="48"/>
        <v>27236.4</v>
      </c>
      <c r="G216" s="138">
        <f t="shared" si="48"/>
        <v>12307.4</v>
      </c>
      <c r="H216" s="138">
        <f t="shared" si="48"/>
        <v>39543.8</v>
      </c>
      <c r="I216" s="138">
        <f t="shared" si="48"/>
        <v>11634.000000000002</v>
      </c>
      <c r="J216" s="138">
        <f t="shared" si="48"/>
        <v>51177.799999999996</v>
      </c>
      <c r="K216" s="138">
        <f t="shared" si="48"/>
        <v>14482.6</v>
      </c>
      <c r="L216" s="138">
        <f t="shared" si="48"/>
        <v>65660.40000000001</v>
      </c>
      <c r="M216" s="138">
        <f t="shared" si="48"/>
        <v>12755.8</v>
      </c>
      <c r="N216" s="138">
        <f t="shared" si="48"/>
        <v>78416.2</v>
      </c>
      <c r="O216" s="138">
        <f t="shared" si="48"/>
        <v>11852.900000000001</v>
      </c>
      <c r="P216" s="138">
        <f t="shared" si="48"/>
        <v>90269.09999999999</v>
      </c>
      <c r="Q216" s="138">
        <f>SUM(Q184:Q215)</f>
        <v>11074.8</v>
      </c>
      <c r="R216" s="138">
        <f>SUM(R184:R215)</f>
        <v>101343.9</v>
      </c>
      <c r="S216" s="138">
        <f>(R216/E216)*100</f>
        <v>68.844016629531</v>
      </c>
      <c r="T216" s="138">
        <f>SUM(T184:T215)</f>
        <v>151080</v>
      </c>
      <c r="U216" s="138">
        <f>SUM(U184:U215)</f>
        <v>152408</v>
      </c>
      <c r="V216" s="138">
        <f>SUM(V184:V215)</f>
        <v>152928</v>
      </c>
      <c r="W216" s="138">
        <f>SUM(W184:W215)</f>
        <v>152928</v>
      </c>
    </row>
    <row r="217" spans="1:23" s="10" customFormat="1" ht="15.75" customHeight="1">
      <c r="A217" s="29"/>
      <c r="B217" s="30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s="10" customFormat="1" ht="15.75" customHeight="1">
      <c r="A218" s="29"/>
      <c r="B218" s="30"/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s="10" customFormat="1" ht="12.75" customHeight="1">
      <c r="A219" s="29"/>
      <c r="C219" s="30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s="10" customFormat="1" ht="12.75" customHeight="1" hidden="1">
      <c r="A220" s="29"/>
      <c r="B220" s="30"/>
      <c r="C220" s="31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s="10" customFormat="1" ht="12.75" customHeight="1" hidden="1">
      <c r="A221" s="29"/>
      <c r="B221" s="30"/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s="10" customFormat="1" ht="12.75" customHeight="1" hidden="1">
      <c r="A222" s="29"/>
      <c r="B222" s="30"/>
      <c r="C222" s="31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s="10" customFormat="1" ht="12.75" customHeight="1" hidden="1">
      <c r="A223" s="29"/>
      <c r="B223" s="30"/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s="10" customFormat="1" ht="12.75" customHeight="1" hidden="1">
      <c r="A224" s="29"/>
      <c r="B224" s="30"/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s="10" customFormat="1" ht="12.75" customHeight="1" hidden="1">
      <c r="A225" s="29"/>
      <c r="B225" s="30"/>
      <c r="C225" s="31"/>
      <c r="D225" s="32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32"/>
      <c r="U225" s="32"/>
      <c r="V225" s="32"/>
      <c r="W225" s="32"/>
    </row>
    <row r="226" spans="1:23" s="10" customFormat="1" ht="12.75" customHeight="1" hidden="1">
      <c r="A226" s="29"/>
      <c r="B226" s="30"/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s="10" customFormat="1" ht="12.75" customHeight="1" hidden="1">
      <c r="A227" s="29"/>
      <c r="B227" s="30"/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s="10" customFormat="1" ht="18" customHeight="1">
      <c r="A228" s="29"/>
      <c r="B228" s="30"/>
      <c r="C228" s="31"/>
      <c r="D228" s="32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32"/>
      <c r="U228" s="32"/>
      <c r="V228" s="32"/>
      <c r="W228" s="32"/>
    </row>
    <row r="229" spans="1:23" s="10" customFormat="1" ht="15.75" customHeight="1" thickBot="1">
      <c r="A229" s="29"/>
      <c r="B229" s="30"/>
      <c r="C229" s="31"/>
      <c r="D229" s="32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32"/>
      <c r="U229" s="32"/>
      <c r="V229" s="32"/>
      <c r="W229" s="32"/>
    </row>
    <row r="230" spans="1:23" s="10" customFormat="1" ht="18">
      <c r="A230" s="148" t="s">
        <v>2</v>
      </c>
      <c r="B230" s="150" t="s">
        <v>3</v>
      </c>
      <c r="C230" s="211" t="s">
        <v>485</v>
      </c>
      <c r="D230" s="162" t="s">
        <v>489</v>
      </c>
      <c r="E230" s="162" t="s">
        <v>490</v>
      </c>
      <c r="F230" s="186" t="s">
        <v>6</v>
      </c>
      <c r="G230" s="186" t="s">
        <v>6</v>
      </c>
      <c r="H230" s="186" t="s">
        <v>6</v>
      </c>
      <c r="I230" s="186" t="s">
        <v>6</v>
      </c>
      <c r="J230" s="186" t="s">
        <v>6</v>
      </c>
      <c r="K230" s="186" t="s">
        <v>6</v>
      </c>
      <c r="L230" s="186" t="s">
        <v>6</v>
      </c>
      <c r="M230" s="186" t="s">
        <v>6</v>
      </c>
      <c r="N230" s="186" t="s">
        <v>6</v>
      </c>
      <c r="O230" s="186" t="s">
        <v>6</v>
      </c>
      <c r="P230" s="186" t="s">
        <v>6</v>
      </c>
      <c r="Q230" s="186" t="s">
        <v>6</v>
      </c>
      <c r="R230" s="186" t="s">
        <v>6</v>
      </c>
      <c r="S230" s="186" t="s">
        <v>7</v>
      </c>
      <c r="T230" s="186" t="s">
        <v>458</v>
      </c>
      <c r="U230" s="186" t="s">
        <v>5</v>
      </c>
      <c r="V230" s="186" t="s">
        <v>5</v>
      </c>
      <c r="W230" s="186" t="s">
        <v>5</v>
      </c>
    </row>
    <row r="231" spans="1:23" s="10" customFormat="1" ht="15.75" customHeight="1" thickBot="1">
      <c r="A231" s="151"/>
      <c r="B231" s="152"/>
      <c r="C231" s="153"/>
      <c r="D231" s="166">
        <v>2010</v>
      </c>
      <c r="E231" s="166">
        <v>2010</v>
      </c>
      <c r="F231" s="187" t="s">
        <v>10</v>
      </c>
      <c r="G231" s="187" t="s">
        <v>11</v>
      </c>
      <c r="H231" s="187" t="s">
        <v>12</v>
      </c>
      <c r="I231" s="187" t="s">
        <v>13</v>
      </c>
      <c r="J231" s="187" t="s">
        <v>14</v>
      </c>
      <c r="K231" s="187" t="s">
        <v>15</v>
      </c>
      <c r="L231" s="187" t="s">
        <v>16</v>
      </c>
      <c r="M231" s="187" t="s">
        <v>17</v>
      </c>
      <c r="N231" s="187" t="s">
        <v>18</v>
      </c>
      <c r="O231" s="187" t="s">
        <v>19</v>
      </c>
      <c r="P231" s="187" t="s">
        <v>20</v>
      </c>
      <c r="Q231" s="187" t="s">
        <v>21</v>
      </c>
      <c r="R231" s="187" t="s">
        <v>22</v>
      </c>
      <c r="S231" s="187" t="s">
        <v>23</v>
      </c>
      <c r="T231" s="187" t="s">
        <v>460</v>
      </c>
      <c r="U231" s="187" t="s">
        <v>461</v>
      </c>
      <c r="V231" s="187" t="s">
        <v>462</v>
      </c>
      <c r="W231" s="187" t="s">
        <v>459</v>
      </c>
    </row>
    <row r="232" spans="1:23" s="10" customFormat="1" ht="16.5" thickTop="1">
      <c r="A232" s="13">
        <v>60</v>
      </c>
      <c r="B232" s="14"/>
      <c r="C232" s="15" t="s">
        <v>164</v>
      </c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</row>
    <row r="233" spans="1:23" s="10" customFormat="1" ht="15.75">
      <c r="A233" s="17"/>
      <c r="B233" s="18"/>
      <c r="C233" s="17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</row>
    <row r="234" spans="1:23" s="10" customFormat="1" ht="15">
      <c r="A234" s="21"/>
      <c r="B234" s="20">
        <v>1014</v>
      </c>
      <c r="C234" s="21" t="s">
        <v>165</v>
      </c>
      <c r="D234" s="134">
        <v>663</v>
      </c>
      <c r="E234" s="134">
        <v>703</v>
      </c>
      <c r="F234" s="134">
        <v>102.7</v>
      </c>
      <c r="G234" s="44">
        <f aca="true" t="shared" si="49" ref="G234:G248">H234-F234</f>
        <v>52.3</v>
      </c>
      <c r="H234" s="134">
        <v>155</v>
      </c>
      <c r="I234" s="44">
        <f aca="true" t="shared" si="50" ref="I234:I248">J234-H234</f>
        <v>53.099999999999994</v>
      </c>
      <c r="J234" s="134">
        <v>208.1</v>
      </c>
      <c r="K234" s="44">
        <f aca="true" t="shared" si="51" ref="K234:K248">L234-J234</f>
        <v>61.50000000000003</v>
      </c>
      <c r="L234" s="134">
        <v>269.6</v>
      </c>
      <c r="M234" s="44">
        <f aca="true" t="shared" si="52" ref="M234:M248">N234-L234</f>
        <v>54.39999999999998</v>
      </c>
      <c r="N234" s="134">
        <v>324</v>
      </c>
      <c r="O234" s="44">
        <f aca="true" t="shared" si="53" ref="O234:O248">P234-N234</f>
        <v>95.60000000000002</v>
      </c>
      <c r="P234" s="134">
        <v>419.6</v>
      </c>
      <c r="Q234" s="44">
        <f aca="true" t="shared" si="54" ref="Q234:Q248">R234-P234</f>
        <v>43.39999999999998</v>
      </c>
      <c r="R234" s="134">
        <v>463</v>
      </c>
      <c r="S234" s="44">
        <f aca="true" t="shared" si="55" ref="S234:S248">(R234/E234)*100</f>
        <v>65.8605974395448</v>
      </c>
      <c r="T234" s="134">
        <v>703</v>
      </c>
      <c r="U234" s="134">
        <v>635</v>
      </c>
      <c r="V234" s="134">
        <v>635</v>
      </c>
      <c r="W234" s="134">
        <v>635</v>
      </c>
    </row>
    <row r="235" spans="1:23" s="10" customFormat="1" ht="15" customHeight="1" hidden="1">
      <c r="A235" s="68"/>
      <c r="B235" s="69">
        <v>1031</v>
      </c>
      <c r="C235" s="68" t="s">
        <v>166</v>
      </c>
      <c r="D235" s="135"/>
      <c r="E235" s="135"/>
      <c r="F235" s="135"/>
      <c r="G235" s="44">
        <f t="shared" si="49"/>
        <v>0</v>
      </c>
      <c r="H235" s="135"/>
      <c r="I235" s="44">
        <f t="shared" si="50"/>
        <v>0</v>
      </c>
      <c r="J235" s="135"/>
      <c r="K235" s="44">
        <f t="shared" si="51"/>
        <v>0</v>
      </c>
      <c r="L235" s="135"/>
      <c r="M235" s="44">
        <f t="shared" si="52"/>
        <v>0</v>
      </c>
      <c r="N235" s="135"/>
      <c r="O235" s="44">
        <f t="shared" si="53"/>
        <v>0</v>
      </c>
      <c r="P235" s="135"/>
      <c r="Q235" s="44">
        <f t="shared" si="54"/>
        <v>0</v>
      </c>
      <c r="R235" s="135"/>
      <c r="S235" s="44" t="e">
        <f t="shared" si="55"/>
        <v>#DIV/0!</v>
      </c>
      <c r="T235" s="135"/>
      <c r="U235" s="135"/>
      <c r="V235" s="135"/>
      <c r="W235" s="135"/>
    </row>
    <row r="236" spans="1:23" s="10" customFormat="1" ht="15">
      <c r="A236" s="21"/>
      <c r="B236" s="20">
        <v>1036</v>
      </c>
      <c r="C236" s="21" t="s">
        <v>167</v>
      </c>
      <c r="D236" s="134">
        <v>0</v>
      </c>
      <c r="E236" s="134">
        <v>176.5</v>
      </c>
      <c r="F236" s="134">
        <v>0</v>
      </c>
      <c r="G236" s="44">
        <f t="shared" si="49"/>
        <v>0</v>
      </c>
      <c r="H236" s="134">
        <v>0</v>
      </c>
      <c r="I236" s="44">
        <f t="shared" si="50"/>
        <v>0</v>
      </c>
      <c r="J236" s="134">
        <v>0</v>
      </c>
      <c r="K236" s="44">
        <f t="shared" si="51"/>
        <v>13.8</v>
      </c>
      <c r="L236" s="134">
        <v>13.8</v>
      </c>
      <c r="M236" s="44">
        <f t="shared" si="52"/>
        <v>0</v>
      </c>
      <c r="N236" s="134">
        <v>13.8</v>
      </c>
      <c r="O236" s="44">
        <f t="shared" si="53"/>
        <v>13.8</v>
      </c>
      <c r="P236" s="134">
        <v>27.6</v>
      </c>
      <c r="Q236" s="44">
        <f t="shared" si="54"/>
        <v>148.8</v>
      </c>
      <c r="R236" s="134">
        <v>176.4</v>
      </c>
      <c r="S236" s="44">
        <f t="shared" si="55"/>
        <v>99.94334277620396</v>
      </c>
      <c r="T236" s="134">
        <v>204.4</v>
      </c>
      <c r="U236" s="134">
        <v>0</v>
      </c>
      <c r="V236" s="134">
        <v>0</v>
      </c>
      <c r="W236" s="134">
        <v>0</v>
      </c>
    </row>
    <row r="237" spans="1:23" s="10" customFormat="1" ht="15" customHeight="1" hidden="1">
      <c r="A237" s="68"/>
      <c r="B237" s="69">
        <v>1037</v>
      </c>
      <c r="C237" s="68" t="s">
        <v>168</v>
      </c>
      <c r="D237" s="135">
        <v>0</v>
      </c>
      <c r="E237" s="135">
        <v>0</v>
      </c>
      <c r="F237" s="135"/>
      <c r="G237" s="44">
        <f t="shared" si="49"/>
        <v>0</v>
      </c>
      <c r="H237" s="135"/>
      <c r="I237" s="44">
        <f t="shared" si="50"/>
        <v>0</v>
      </c>
      <c r="J237" s="135"/>
      <c r="K237" s="44">
        <f t="shared" si="51"/>
        <v>0</v>
      </c>
      <c r="L237" s="135"/>
      <c r="M237" s="44">
        <f t="shared" si="52"/>
        <v>0</v>
      </c>
      <c r="N237" s="135"/>
      <c r="O237" s="44">
        <f t="shared" si="53"/>
        <v>0</v>
      </c>
      <c r="P237" s="135"/>
      <c r="Q237" s="44">
        <f t="shared" si="54"/>
        <v>0</v>
      </c>
      <c r="R237" s="135"/>
      <c r="S237" s="44" t="e">
        <f t="shared" si="55"/>
        <v>#DIV/0!</v>
      </c>
      <c r="T237" s="135"/>
      <c r="U237" s="135"/>
      <c r="V237" s="135"/>
      <c r="W237" s="135"/>
    </row>
    <row r="238" spans="1:23" s="10" customFormat="1" ht="15">
      <c r="A238" s="68"/>
      <c r="B238" s="69">
        <v>1039</v>
      </c>
      <c r="C238" s="68" t="s">
        <v>169</v>
      </c>
      <c r="D238" s="135">
        <v>10</v>
      </c>
      <c r="E238" s="135">
        <v>10</v>
      </c>
      <c r="F238" s="135">
        <v>0</v>
      </c>
      <c r="G238" s="44">
        <f t="shared" si="49"/>
        <v>0</v>
      </c>
      <c r="H238" s="135">
        <v>0</v>
      </c>
      <c r="I238" s="44">
        <f t="shared" si="50"/>
        <v>10</v>
      </c>
      <c r="J238" s="135">
        <v>10</v>
      </c>
      <c r="K238" s="44">
        <f t="shared" si="51"/>
        <v>0</v>
      </c>
      <c r="L238" s="135">
        <v>10</v>
      </c>
      <c r="M238" s="44">
        <f t="shared" si="52"/>
        <v>0</v>
      </c>
      <c r="N238" s="135">
        <v>10</v>
      </c>
      <c r="O238" s="44">
        <f t="shared" si="53"/>
        <v>0</v>
      </c>
      <c r="P238" s="135">
        <v>10</v>
      </c>
      <c r="Q238" s="44">
        <f t="shared" si="54"/>
        <v>0</v>
      </c>
      <c r="R238" s="135">
        <v>10</v>
      </c>
      <c r="S238" s="44">
        <f t="shared" si="55"/>
        <v>100</v>
      </c>
      <c r="T238" s="135">
        <v>10</v>
      </c>
      <c r="U238" s="135">
        <v>0</v>
      </c>
      <c r="V238" s="135">
        <v>0</v>
      </c>
      <c r="W238" s="135">
        <v>0</v>
      </c>
    </row>
    <row r="239" spans="1:23" s="10" customFormat="1" ht="15" customHeight="1" hidden="1">
      <c r="A239" s="21"/>
      <c r="B239" s="20">
        <v>2331</v>
      </c>
      <c r="C239" s="21" t="s">
        <v>170</v>
      </c>
      <c r="D239" s="134">
        <v>0</v>
      </c>
      <c r="E239" s="134">
        <v>0</v>
      </c>
      <c r="F239" s="134"/>
      <c r="G239" s="44">
        <f t="shared" si="49"/>
        <v>0</v>
      </c>
      <c r="H239" s="134"/>
      <c r="I239" s="44">
        <f t="shared" si="50"/>
        <v>0</v>
      </c>
      <c r="J239" s="134"/>
      <c r="K239" s="44">
        <f t="shared" si="51"/>
        <v>0</v>
      </c>
      <c r="L239" s="134"/>
      <c r="M239" s="44">
        <f t="shared" si="52"/>
        <v>0</v>
      </c>
      <c r="N239" s="134"/>
      <c r="O239" s="44">
        <f t="shared" si="53"/>
        <v>0</v>
      </c>
      <c r="P239" s="134"/>
      <c r="Q239" s="44">
        <f t="shared" si="54"/>
        <v>0</v>
      </c>
      <c r="R239" s="134"/>
      <c r="S239" s="44" t="e">
        <f t="shared" si="55"/>
        <v>#DIV/0!</v>
      </c>
      <c r="T239" s="134"/>
      <c r="U239" s="134"/>
      <c r="V239" s="134"/>
      <c r="W239" s="134"/>
    </row>
    <row r="240" spans="1:23" s="10" customFormat="1" ht="15" customHeight="1" hidden="1">
      <c r="A240" s="21"/>
      <c r="B240" s="20">
        <v>2339</v>
      </c>
      <c r="C240" s="21" t="s">
        <v>171</v>
      </c>
      <c r="D240" s="134">
        <v>0</v>
      </c>
      <c r="E240" s="134">
        <v>0</v>
      </c>
      <c r="F240" s="134"/>
      <c r="G240" s="44">
        <f t="shared" si="49"/>
        <v>0</v>
      </c>
      <c r="H240" s="134"/>
      <c r="I240" s="44">
        <f t="shared" si="50"/>
        <v>0</v>
      </c>
      <c r="J240" s="134"/>
      <c r="K240" s="44">
        <f t="shared" si="51"/>
        <v>0</v>
      </c>
      <c r="L240" s="134"/>
      <c r="M240" s="44">
        <f t="shared" si="52"/>
        <v>0</v>
      </c>
      <c r="N240" s="134"/>
      <c r="O240" s="44">
        <f t="shared" si="53"/>
        <v>0</v>
      </c>
      <c r="P240" s="134"/>
      <c r="Q240" s="44">
        <f t="shared" si="54"/>
        <v>0</v>
      </c>
      <c r="R240" s="134"/>
      <c r="S240" s="44" t="e">
        <f t="shared" si="55"/>
        <v>#DIV/0!</v>
      </c>
      <c r="T240" s="134"/>
      <c r="U240" s="134"/>
      <c r="V240" s="134"/>
      <c r="W240" s="134"/>
    </row>
    <row r="241" spans="1:23" s="10" customFormat="1" ht="15" customHeight="1" hidden="1">
      <c r="A241" s="21"/>
      <c r="B241" s="20">
        <v>2399</v>
      </c>
      <c r="C241" s="21" t="s">
        <v>172</v>
      </c>
      <c r="D241" s="134">
        <v>0</v>
      </c>
      <c r="E241" s="134">
        <v>0</v>
      </c>
      <c r="F241" s="134"/>
      <c r="G241" s="44">
        <f t="shared" si="49"/>
        <v>0</v>
      </c>
      <c r="H241" s="134"/>
      <c r="I241" s="44">
        <f t="shared" si="50"/>
        <v>0</v>
      </c>
      <c r="J241" s="134"/>
      <c r="K241" s="44">
        <f t="shared" si="51"/>
        <v>0</v>
      </c>
      <c r="L241" s="134"/>
      <c r="M241" s="44">
        <f t="shared" si="52"/>
        <v>0</v>
      </c>
      <c r="N241" s="134"/>
      <c r="O241" s="44">
        <f t="shared" si="53"/>
        <v>0</v>
      </c>
      <c r="P241" s="134"/>
      <c r="Q241" s="44">
        <f t="shared" si="54"/>
        <v>0</v>
      </c>
      <c r="R241" s="134"/>
      <c r="S241" s="44" t="e">
        <f t="shared" si="55"/>
        <v>#DIV/0!</v>
      </c>
      <c r="T241" s="134"/>
      <c r="U241" s="134"/>
      <c r="V241" s="134"/>
      <c r="W241" s="134"/>
    </row>
    <row r="242" spans="1:23" s="10" customFormat="1" ht="15" customHeight="1" hidden="1">
      <c r="A242" s="21"/>
      <c r="B242" s="20">
        <v>3728</v>
      </c>
      <c r="C242" s="21" t="s">
        <v>173</v>
      </c>
      <c r="D242" s="134"/>
      <c r="E242" s="134"/>
      <c r="F242" s="134"/>
      <c r="G242" s="44">
        <f t="shared" si="49"/>
        <v>0</v>
      </c>
      <c r="H242" s="134"/>
      <c r="I242" s="44">
        <f t="shared" si="50"/>
        <v>0</v>
      </c>
      <c r="J242" s="134"/>
      <c r="K242" s="44">
        <f t="shared" si="51"/>
        <v>0</v>
      </c>
      <c r="L242" s="134"/>
      <c r="M242" s="44">
        <f t="shared" si="52"/>
        <v>0</v>
      </c>
      <c r="N242" s="134"/>
      <c r="O242" s="44">
        <f t="shared" si="53"/>
        <v>0</v>
      </c>
      <c r="P242" s="134"/>
      <c r="Q242" s="44">
        <f t="shared" si="54"/>
        <v>0</v>
      </c>
      <c r="R242" s="134"/>
      <c r="S242" s="44" t="e">
        <f t="shared" si="55"/>
        <v>#DIV/0!</v>
      </c>
      <c r="T242" s="134"/>
      <c r="U242" s="134"/>
      <c r="V242" s="134"/>
      <c r="W242" s="134"/>
    </row>
    <row r="243" spans="1:23" s="10" customFormat="1" ht="15" customHeight="1" hidden="1">
      <c r="A243" s="68"/>
      <c r="B243" s="69">
        <v>3729</v>
      </c>
      <c r="C243" s="68" t="s">
        <v>174</v>
      </c>
      <c r="D243" s="135"/>
      <c r="E243" s="135"/>
      <c r="F243" s="135"/>
      <c r="G243" s="44">
        <f t="shared" si="49"/>
        <v>0</v>
      </c>
      <c r="H243" s="135"/>
      <c r="I243" s="44">
        <f t="shared" si="50"/>
        <v>0</v>
      </c>
      <c r="J243" s="135"/>
      <c r="K243" s="44">
        <f t="shared" si="51"/>
        <v>0</v>
      </c>
      <c r="L243" s="135"/>
      <c r="M243" s="44">
        <f t="shared" si="52"/>
        <v>0</v>
      </c>
      <c r="N243" s="135"/>
      <c r="O243" s="44">
        <f t="shared" si="53"/>
        <v>0</v>
      </c>
      <c r="P243" s="135"/>
      <c r="Q243" s="44">
        <f t="shared" si="54"/>
        <v>0</v>
      </c>
      <c r="R243" s="135"/>
      <c r="S243" s="44" t="e">
        <f t="shared" si="55"/>
        <v>#DIV/0!</v>
      </c>
      <c r="T243" s="135"/>
      <c r="U243" s="135"/>
      <c r="V243" s="135"/>
      <c r="W243" s="135"/>
    </row>
    <row r="244" spans="1:23" s="10" customFormat="1" ht="15">
      <c r="A244" s="68"/>
      <c r="B244" s="69">
        <v>1070</v>
      </c>
      <c r="C244" s="68" t="s">
        <v>175</v>
      </c>
      <c r="D244" s="135">
        <v>20</v>
      </c>
      <c r="E244" s="135">
        <v>20</v>
      </c>
      <c r="F244" s="135">
        <v>0</v>
      </c>
      <c r="G244" s="44">
        <f t="shared" si="49"/>
        <v>0</v>
      </c>
      <c r="H244" s="135">
        <v>0</v>
      </c>
      <c r="I244" s="44">
        <f t="shared" si="50"/>
        <v>0</v>
      </c>
      <c r="J244" s="135">
        <v>0</v>
      </c>
      <c r="K244" s="44">
        <f t="shared" si="51"/>
        <v>0</v>
      </c>
      <c r="L244" s="135">
        <v>0</v>
      </c>
      <c r="M244" s="44">
        <f t="shared" si="52"/>
        <v>0</v>
      </c>
      <c r="N244" s="135">
        <v>0</v>
      </c>
      <c r="O244" s="44">
        <f t="shared" si="53"/>
        <v>0</v>
      </c>
      <c r="P244" s="135">
        <v>0</v>
      </c>
      <c r="Q244" s="44">
        <f t="shared" si="54"/>
        <v>0</v>
      </c>
      <c r="R244" s="135">
        <v>0</v>
      </c>
      <c r="S244" s="44">
        <f t="shared" si="55"/>
        <v>0</v>
      </c>
      <c r="T244" s="135">
        <v>0</v>
      </c>
      <c r="U244" s="135">
        <v>20</v>
      </c>
      <c r="V244" s="135">
        <v>20</v>
      </c>
      <c r="W244" s="135">
        <v>20</v>
      </c>
    </row>
    <row r="245" spans="1:23" s="10" customFormat="1" ht="15">
      <c r="A245" s="68"/>
      <c r="B245" s="69">
        <v>2331</v>
      </c>
      <c r="C245" s="68" t="s">
        <v>465</v>
      </c>
      <c r="D245" s="135">
        <v>0</v>
      </c>
      <c r="E245" s="135">
        <v>0</v>
      </c>
      <c r="F245" s="135"/>
      <c r="G245" s="44"/>
      <c r="H245" s="135"/>
      <c r="I245" s="44"/>
      <c r="J245" s="135"/>
      <c r="K245" s="44"/>
      <c r="L245" s="135"/>
      <c r="M245" s="44"/>
      <c r="N245" s="135"/>
      <c r="O245" s="44"/>
      <c r="P245" s="135"/>
      <c r="Q245" s="44"/>
      <c r="R245" s="135">
        <v>0</v>
      </c>
      <c r="S245" s="44"/>
      <c r="T245" s="135">
        <v>0</v>
      </c>
      <c r="U245" s="135">
        <v>1000</v>
      </c>
      <c r="V245" s="135">
        <v>0</v>
      </c>
      <c r="W245" s="135">
        <v>0</v>
      </c>
    </row>
    <row r="246" spans="1:23" s="10" customFormat="1" ht="15">
      <c r="A246" s="68"/>
      <c r="B246" s="69">
        <v>3739</v>
      </c>
      <c r="C246" s="68" t="s">
        <v>176</v>
      </c>
      <c r="D246" s="134">
        <v>50</v>
      </c>
      <c r="E246" s="134">
        <v>10</v>
      </c>
      <c r="F246" s="134">
        <v>0</v>
      </c>
      <c r="G246" s="44">
        <f t="shared" si="49"/>
        <v>0</v>
      </c>
      <c r="H246" s="134">
        <v>0</v>
      </c>
      <c r="I246" s="44">
        <f t="shared" si="50"/>
        <v>0</v>
      </c>
      <c r="J246" s="134">
        <v>0</v>
      </c>
      <c r="K246" s="44">
        <f t="shared" si="51"/>
        <v>0</v>
      </c>
      <c r="L246" s="134">
        <v>0</v>
      </c>
      <c r="M246" s="44">
        <f t="shared" si="52"/>
        <v>0</v>
      </c>
      <c r="N246" s="134">
        <v>0</v>
      </c>
      <c r="O246" s="44">
        <f t="shared" si="53"/>
        <v>0</v>
      </c>
      <c r="P246" s="134">
        <v>0</v>
      </c>
      <c r="Q246" s="44">
        <f t="shared" si="54"/>
        <v>0</v>
      </c>
      <c r="R246" s="134">
        <v>0</v>
      </c>
      <c r="S246" s="44">
        <f t="shared" si="55"/>
        <v>0</v>
      </c>
      <c r="T246" s="134">
        <v>5</v>
      </c>
      <c r="U246" s="134">
        <v>50</v>
      </c>
      <c r="V246" s="134">
        <v>50</v>
      </c>
      <c r="W246" s="134">
        <v>50</v>
      </c>
    </row>
    <row r="247" spans="1:23" s="10" customFormat="1" ht="15">
      <c r="A247" s="68"/>
      <c r="B247" s="69">
        <v>3741</v>
      </c>
      <c r="C247" s="68" t="s">
        <v>177</v>
      </c>
      <c r="D247" s="134">
        <v>50</v>
      </c>
      <c r="E247" s="134">
        <v>50</v>
      </c>
      <c r="F247" s="134">
        <v>0</v>
      </c>
      <c r="G247" s="44">
        <f t="shared" si="49"/>
        <v>0</v>
      </c>
      <c r="H247" s="134">
        <v>0</v>
      </c>
      <c r="I247" s="44">
        <f t="shared" si="50"/>
        <v>0</v>
      </c>
      <c r="J247" s="134">
        <v>0</v>
      </c>
      <c r="K247" s="44">
        <f t="shared" si="51"/>
        <v>0</v>
      </c>
      <c r="L247" s="134">
        <v>0</v>
      </c>
      <c r="M247" s="44">
        <f t="shared" si="52"/>
        <v>0</v>
      </c>
      <c r="N247" s="134">
        <v>0</v>
      </c>
      <c r="O247" s="44">
        <f t="shared" si="53"/>
        <v>0</v>
      </c>
      <c r="P247" s="134">
        <v>0</v>
      </c>
      <c r="Q247" s="44">
        <f t="shared" si="54"/>
        <v>0</v>
      </c>
      <c r="R247" s="134">
        <v>0</v>
      </c>
      <c r="S247" s="44">
        <f t="shared" si="55"/>
        <v>0</v>
      </c>
      <c r="T247" s="134">
        <v>50</v>
      </c>
      <c r="U247" s="134">
        <v>50</v>
      </c>
      <c r="V247" s="134">
        <v>50</v>
      </c>
      <c r="W247" s="134">
        <v>50</v>
      </c>
    </row>
    <row r="248" spans="1:23" s="10" customFormat="1" ht="15">
      <c r="A248" s="21"/>
      <c r="B248" s="20">
        <v>3749</v>
      </c>
      <c r="C248" s="21" t="s">
        <v>178</v>
      </c>
      <c r="D248" s="135">
        <v>20</v>
      </c>
      <c r="E248" s="135">
        <v>20</v>
      </c>
      <c r="F248" s="135">
        <v>0</v>
      </c>
      <c r="G248" s="44">
        <f t="shared" si="49"/>
        <v>0</v>
      </c>
      <c r="H248" s="135">
        <v>0</v>
      </c>
      <c r="I248" s="44">
        <f t="shared" si="50"/>
        <v>0</v>
      </c>
      <c r="J248" s="135">
        <v>0</v>
      </c>
      <c r="K248" s="44">
        <f t="shared" si="51"/>
        <v>0</v>
      </c>
      <c r="L248" s="135">
        <v>0</v>
      </c>
      <c r="M248" s="44">
        <f t="shared" si="52"/>
        <v>0</v>
      </c>
      <c r="N248" s="135">
        <v>0</v>
      </c>
      <c r="O248" s="44">
        <f t="shared" si="53"/>
        <v>0</v>
      </c>
      <c r="P248" s="135">
        <v>0</v>
      </c>
      <c r="Q248" s="44">
        <f t="shared" si="54"/>
        <v>1.2</v>
      </c>
      <c r="R248" s="135">
        <v>1.2</v>
      </c>
      <c r="S248" s="44">
        <f t="shared" si="55"/>
        <v>6</v>
      </c>
      <c r="T248" s="135">
        <v>2</v>
      </c>
      <c r="U248" s="135">
        <v>20</v>
      </c>
      <c r="V248" s="135">
        <v>20</v>
      </c>
      <c r="W248" s="135">
        <v>20</v>
      </c>
    </row>
    <row r="249" spans="1:23" s="10" customFormat="1" ht="15.75" thickBot="1">
      <c r="A249" s="23"/>
      <c r="B249" s="70"/>
      <c r="C249" s="23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</row>
    <row r="250" spans="1:23" s="10" customFormat="1" ht="18.75" customHeight="1" thickBot="1" thickTop="1">
      <c r="A250" s="26"/>
      <c r="B250" s="71"/>
      <c r="C250" s="72" t="s">
        <v>179</v>
      </c>
      <c r="D250" s="138">
        <f aca="true" t="shared" si="56" ref="D250:P250">SUM(D232:D249)</f>
        <v>813</v>
      </c>
      <c r="E250" s="138">
        <f t="shared" si="56"/>
        <v>989.5</v>
      </c>
      <c r="F250" s="138">
        <f t="shared" si="56"/>
        <v>102.7</v>
      </c>
      <c r="G250" s="138">
        <f t="shared" si="56"/>
        <v>52.3</v>
      </c>
      <c r="H250" s="138">
        <f t="shared" si="56"/>
        <v>155</v>
      </c>
      <c r="I250" s="138">
        <f t="shared" si="56"/>
        <v>63.099999999999994</v>
      </c>
      <c r="J250" s="138">
        <f t="shared" si="56"/>
        <v>218.1</v>
      </c>
      <c r="K250" s="138">
        <f t="shared" si="56"/>
        <v>75.30000000000003</v>
      </c>
      <c r="L250" s="138">
        <f t="shared" si="56"/>
        <v>293.40000000000003</v>
      </c>
      <c r="M250" s="138">
        <f t="shared" si="56"/>
        <v>54.39999999999998</v>
      </c>
      <c r="N250" s="138">
        <f t="shared" si="56"/>
        <v>347.8</v>
      </c>
      <c r="O250" s="138">
        <f t="shared" si="56"/>
        <v>109.40000000000002</v>
      </c>
      <c r="P250" s="138">
        <f t="shared" si="56"/>
        <v>457.20000000000005</v>
      </c>
      <c r="Q250" s="138">
        <f>SUM(Q232:Q249)</f>
        <v>193.39999999999998</v>
      </c>
      <c r="R250" s="138">
        <f>SUM(R232:R249)</f>
        <v>650.6</v>
      </c>
      <c r="S250" s="138">
        <f>(R250/E250)*100</f>
        <v>65.75037897928246</v>
      </c>
      <c r="T250" s="138">
        <f>SUM(T232:T249)</f>
        <v>974.4</v>
      </c>
      <c r="U250" s="138">
        <f>SUM(U232:U249)</f>
        <v>1775</v>
      </c>
      <c r="V250" s="138">
        <f>SUM(V232:V249)</f>
        <v>775</v>
      </c>
      <c r="W250" s="138">
        <f>SUM(W232:W249)</f>
        <v>775</v>
      </c>
    </row>
    <row r="251" spans="1:23" s="10" customFormat="1" ht="12.75" customHeight="1">
      <c r="A251" s="29"/>
      <c r="B251" s="30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1:23" s="10" customFormat="1" ht="12.75" customHeight="1" hidden="1">
      <c r="A252" s="29"/>
      <c r="B252" s="30"/>
      <c r="C252" s="31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1:23" s="10" customFormat="1" ht="12.75" customHeight="1" hidden="1">
      <c r="A253" s="29"/>
      <c r="B253" s="30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s="10" customFormat="1" ht="12.75" customHeight="1" hidden="1">
      <c r="A254" s="29"/>
      <c r="B254" s="30"/>
      <c r="C254" s="31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2:23" s="10" customFormat="1" ht="12.75" customHeight="1" hidden="1">
      <c r="B255" s="33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</row>
    <row r="256" spans="2:23" s="10" customFormat="1" ht="12.75" customHeight="1">
      <c r="B256" s="33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85"/>
      <c r="Q256" s="185"/>
      <c r="R256" s="185"/>
      <c r="S256" s="185"/>
      <c r="T256" s="185"/>
      <c r="U256" s="185"/>
      <c r="V256" s="185"/>
      <c r="W256" s="185"/>
    </row>
    <row r="257" spans="2:23" s="10" customFormat="1" ht="12.75" customHeight="1" thickBot="1">
      <c r="B257" s="33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85"/>
      <c r="Q257" s="185"/>
      <c r="R257" s="185"/>
      <c r="S257" s="185"/>
      <c r="T257" s="185"/>
      <c r="U257" s="185"/>
      <c r="V257" s="185"/>
      <c r="W257" s="185"/>
    </row>
    <row r="258" spans="1:23" s="10" customFormat="1" ht="18">
      <c r="A258" s="148" t="s">
        <v>2</v>
      </c>
      <c r="B258" s="150" t="s">
        <v>3</v>
      </c>
      <c r="C258" s="211" t="s">
        <v>485</v>
      </c>
      <c r="D258" s="162" t="s">
        <v>489</v>
      </c>
      <c r="E258" s="162" t="s">
        <v>490</v>
      </c>
      <c r="F258" s="186" t="s">
        <v>6</v>
      </c>
      <c r="G258" s="186" t="s">
        <v>6</v>
      </c>
      <c r="H258" s="186" t="s">
        <v>6</v>
      </c>
      <c r="I258" s="186" t="s">
        <v>6</v>
      </c>
      <c r="J258" s="186" t="s">
        <v>6</v>
      </c>
      <c r="K258" s="186" t="s">
        <v>6</v>
      </c>
      <c r="L258" s="186" t="s">
        <v>6</v>
      </c>
      <c r="M258" s="186" t="s">
        <v>6</v>
      </c>
      <c r="N258" s="186" t="s">
        <v>6</v>
      </c>
      <c r="O258" s="186" t="s">
        <v>6</v>
      </c>
      <c r="P258" s="186" t="s">
        <v>6</v>
      </c>
      <c r="Q258" s="186" t="s">
        <v>6</v>
      </c>
      <c r="R258" s="186" t="s">
        <v>6</v>
      </c>
      <c r="S258" s="186" t="s">
        <v>7</v>
      </c>
      <c r="T258" s="186" t="s">
        <v>458</v>
      </c>
      <c r="U258" s="186" t="s">
        <v>5</v>
      </c>
      <c r="V258" s="186" t="s">
        <v>5</v>
      </c>
      <c r="W258" s="186" t="s">
        <v>5</v>
      </c>
    </row>
    <row r="259" spans="1:23" s="10" customFormat="1" ht="15.75" customHeight="1" thickBot="1">
      <c r="A259" s="151"/>
      <c r="B259" s="152"/>
      <c r="C259" s="153"/>
      <c r="D259" s="166">
        <v>2010</v>
      </c>
      <c r="E259" s="166">
        <v>2010</v>
      </c>
      <c r="F259" s="187" t="s">
        <v>10</v>
      </c>
      <c r="G259" s="187" t="s">
        <v>11</v>
      </c>
      <c r="H259" s="187" t="s">
        <v>12</v>
      </c>
      <c r="I259" s="187" t="s">
        <v>13</v>
      </c>
      <c r="J259" s="187" t="s">
        <v>14</v>
      </c>
      <c r="K259" s="187" t="s">
        <v>15</v>
      </c>
      <c r="L259" s="187" t="s">
        <v>16</v>
      </c>
      <c r="M259" s="187" t="s">
        <v>17</v>
      </c>
      <c r="N259" s="187" t="s">
        <v>18</v>
      </c>
      <c r="O259" s="187" t="s">
        <v>19</v>
      </c>
      <c r="P259" s="187" t="s">
        <v>20</v>
      </c>
      <c r="Q259" s="187" t="s">
        <v>21</v>
      </c>
      <c r="R259" s="187" t="s">
        <v>22</v>
      </c>
      <c r="S259" s="187" t="s">
        <v>23</v>
      </c>
      <c r="T259" s="187" t="s">
        <v>460</v>
      </c>
      <c r="U259" s="187" t="s">
        <v>461</v>
      </c>
      <c r="V259" s="187" t="s">
        <v>462</v>
      </c>
      <c r="W259" s="187" t="s">
        <v>459</v>
      </c>
    </row>
    <row r="260" spans="1:23" s="10" customFormat="1" ht="16.5" thickTop="1">
      <c r="A260" s="13">
        <v>80</v>
      </c>
      <c r="B260" s="13"/>
      <c r="C260" s="15" t="s">
        <v>180</v>
      </c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</row>
    <row r="261" spans="1:23" s="10" customFormat="1" ht="15.75">
      <c r="A261" s="17"/>
      <c r="B261" s="63"/>
      <c r="C261" s="17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</row>
    <row r="262" spans="1:23" s="10" customFormat="1" ht="15">
      <c r="A262" s="21"/>
      <c r="B262" s="54">
        <v>2219</v>
      </c>
      <c r="C262" s="21" t="s">
        <v>181</v>
      </c>
      <c r="D262" s="137">
        <v>70</v>
      </c>
      <c r="E262" s="134">
        <v>88</v>
      </c>
      <c r="F262" s="134">
        <v>0.3</v>
      </c>
      <c r="G262" s="44">
        <f>H262-F262</f>
        <v>8.899999999999999</v>
      </c>
      <c r="H262" s="134">
        <v>9.2</v>
      </c>
      <c r="I262" s="44">
        <f>J262-H262</f>
        <v>38.3</v>
      </c>
      <c r="J262" s="134">
        <v>47.5</v>
      </c>
      <c r="K262" s="44">
        <f>L262-J262</f>
        <v>0</v>
      </c>
      <c r="L262" s="134">
        <v>47.5</v>
      </c>
      <c r="M262" s="44">
        <f>N262-L262</f>
        <v>24.200000000000003</v>
      </c>
      <c r="N262" s="134">
        <v>71.7</v>
      </c>
      <c r="O262" s="44">
        <f>P262-N262</f>
        <v>1.5</v>
      </c>
      <c r="P262" s="134">
        <v>73.2</v>
      </c>
      <c r="Q262" s="44">
        <f>R262-P262</f>
        <v>1.5</v>
      </c>
      <c r="R262" s="134">
        <v>74.7</v>
      </c>
      <c r="S262" s="44">
        <f aca="true" t="shared" si="57" ref="S262:S268">(R262/E262)*100</f>
        <v>84.88636363636364</v>
      </c>
      <c r="T262" s="137">
        <v>88</v>
      </c>
      <c r="U262" s="137">
        <v>100</v>
      </c>
      <c r="V262" s="137">
        <v>100</v>
      </c>
      <c r="W262" s="134">
        <v>100</v>
      </c>
    </row>
    <row r="263" spans="1:104" s="29" customFormat="1" ht="15">
      <c r="A263" s="21"/>
      <c r="B263" s="54">
        <v>2221</v>
      </c>
      <c r="C263" s="21" t="s">
        <v>466</v>
      </c>
      <c r="D263" s="137">
        <v>13802</v>
      </c>
      <c r="E263" s="134">
        <v>13669</v>
      </c>
      <c r="F263" s="134">
        <v>2066.1</v>
      </c>
      <c r="G263" s="44">
        <f>H263-F263</f>
        <v>1223.4</v>
      </c>
      <c r="H263" s="134">
        <v>3289.5</v>
      </c>
      <c r="I263" s="44">
        <f>J263-H263</f>
        <v>1096.5</v>
      </c>
      <c r="J263" s="134">
        <v>4386</v>
      </c>
      <c r="K263" s="44">
        <f>L263-J263</f>
        <v>1096.5</v>
      </c>
      <c r="L263" s="134">
        <v>5482.5</v>
      </c>
      <c r="M263" s="44">
        <f>N263-L263</f>
        <v>1096.5</v>
      </c>
      <c r="N263" s="134">
        <v>6579</v>
      </c>
      <c r="O263" s="44">
        <f>P263-N263</f>
        <v>1096.5</v>
      </c>
      <c r="P263" s="134">
        <v>7675.5</v>
      </c>
      <c r="Q263" s="44">
        <f>R263-P263</f>
        <v>1096.5</v>
      </c>
      <c r="R263" s="134">
        <v>8772</v>
      </c>
      <c r="S263" s="44">
        <f t="shared" si="57"/>
        <v>64.17440924720171</v>
      </c>
      <c r="T263" s="137">
        <v>13669</v>
      </c>
      <c r="U263" s="137">
        <v>14100</v>
      </c>
      <c r="V263" s="137">
        <v>14100</v>
      </c>
      <c r="W263" s="134">
        <v>14100</v>
      </c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</row>
    <row r="264" spans="1:104" s="29" customFormat="1" ht="15">
      <c r="A264" s="21"/>
      <c r="B264" s="54">
        <v>2221</v>
      </c>
      <c r="C264" s="21" t="s">
        <v>467</v>
      </c>
      <c r="D264" s="137">
        <v>0</v>
      </c>
      <c r="E264" s="134">
        <v>6400</v>
      </c>
      <c r="F264" s="134">
        <v>0</v>
      </c>
      <c r="G264" s="44">
        <f>H264-F264</f>
        <v>0</v>
      </c>
      <c r="H264" s="134">
        <v>0</v>
      </c>
      <c r="I264" s="44">
        <f>J264-H264</f>
        <v>6400</v>
      </c>
      <c r="J264" s="134">
        <v>6400</v>
      </c>
      <c r="K264" s="44">
        <f>L264-J264</f>
        <v>0</v>
      </c>
      <c r="L264" s="134">
        <v>6400</v>
      </c>
      <c r="M264" s="44">
        <f>N264-L264</f>
        <v>0</v>
      </c>
      <c r="N264" s="134">
        <v>6400</v>
      </c>
      <c r="O264" s="44">
        <f>P264-N264</f>
        <v>0</v>
      </c>
      <c r="P264" s="134">
        <v>6400</v>
      </c>
      <c r="Q264" s="44">
        <f>R264-P264</f>
        <v>0</v>
      </c>
      <c r="R264" s="134">
        <v>6400</v>
      </c>
      <c r="S264" s="44">
        <f t="shared" si="57"/>
        <v>100</v>
      </c>
      <c r="T264" s="137">
        <v>6400</v>
      </c>
      <c r="U264" s="137">
        <v>0</v>
      </c>
      <c r="V264" s="137">
        <v>0</v>
      </c>
      <c r="W264" s="134">
        <v>0</v>
      </c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</row>
    <row r="265" spans="1:104" s="29" customFormat="1" ht="15">
      <c r="A265" s="21"/>
      <c r="B265" s="54">
        <v>2221</v>
      </c>
      <c r="C265" s="21" t="s">
        <v>468</v>
      </c>
      <c r="D265" s="137">
        <v>0</v>
      </c>
      <c r="E265" s="134">
        <v>0</v>
      </c>
      <c r="F265" s="134"/>
      <c r="G265" s="44"/>
      <c r="H265" s="134"/>
      <c r="I265" s="44"/>
      <c r="J265" s="134"/>
      <c r="K265" s="44"/>
      <c r="L265" s="134"/>
      <c r="M265" s="44"/>
      <c r="N265" s="134"/>
      <c r="O265" s="44"/>
      <c r="P265" s="134"/>
      <c r="Q265" s="44"/>
      <c r="R265" s="134">
        <v>0</v>
      </c>
      <c r="S265" s="44"/>
      <c r="T265" s="137">
        <v>713</v>
      </c>
      <c r="U265" s="137">
        <v>1300</v>
      </c>
      <c r="V265" s="137">
        <v>1300</v>
      </c>
      <c r="W265" s="134">
        <v>1300</v>
      </c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</row>
    <row r="266" spans="1:104" s="29" customFormat="1" ht="15.75" thickBot="1">
      <c r="A266" s="21"/>
      <c r="B266" s="54">
        <v>2232</v>
      </c>
      <c r="C266" s="21" t="s">
        <v>182</v>
      </c>
      <c r="D266" s="134">
        <v>135</v>
      </c>
      <c r="E266" s="134">
        <v>500</v>
      </c>
      <c r="F266" s="134">
        <v>0</v>
      </c>
      <c r="G266" s="44">
        <f>H266-F266</f>
        <v>0</v>
      </c>
      <c r="H266" s="134">
        <v>0</v>
      </c>
      <c r="I266" s="44">
        <f>J266-H266</f>
        <v>0</v>
      </c>
      <c r="J266" s="134">
        <v>0</v>
      </c>
      <c r="K266" s="44">
        <f>L266-J266</f>
        <v>0</v>
      </c>
      <c r="L266" s="134">
        <v>0</v>
      </c>
      <c r="M266" s="44">
        <f>N266-L266</f>
        <v>350</v>
      </c>
      <c r="N266" s="134">
        <v>350</v>
      </c>
      <c r="O266" s="44">
        <f>P266-N266</f>
        <v>0</v>
      </c>
      <c r="P266" s="134">
        <v>350</v>
      </c>
      <c r="Q266" s="44">
        <f>R266-P266</f>
        <v>0</v>
      </c>
      <c r="R266" s="134">
        <v>350</v>
      </c>
      <c r="S266" s="44">
        <f t="shared" si="57"/>
        <v>70</v>
      </c>
      <c r="T266" s="134">
        <v>500</v>
      </c>
      <c r="U266" s="134">
        <f>500-350</f>
        <v>150</v>
      </c>
      <c r="V266" s="134">
        <f>500-350</f>
        <v>150</v>
      </c>
      <c r="W266" s="134">
        <f>500-350</f>
        <v>150</v>
      </c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</row>
    <row r="267" spans="1:104" s="29" customFormat="1" ht="15.75" hidden="1" thickBot="1">
      <c r="A267" s="22"/>
      <c r="B267" s="65">
        <v>6171</v>
      </c>
      <c r="C267" s="22" t="s">
        <v>183</v>
      </c>
      <c r="D267" s="44">
        <v>0</v>
      </c>
      <c r="E267" s="44">
        <v>0</v>
      </c>
      <c r="F267" s="44">
        <v>25.5</v>
      </c>
      <c r="G267" s="44">
        <f>H267-F267</f>
        <v>1.5</v>
      </c>
      <c r="H267" s="44">
        <v>27</v>
      </c>
      <c r="I267" s="44">
        <f>J267-H267</f>
        <v>1.5</v>
      </c>
      <c r="J267" s="44">
        <v>28.5</v>
      </c>
      <c r="K267" s="44">
        <f>L267-J267</f>
        <v>0</v>
      </c>
      <c r="L267" s="44">
        <v>28.5</v>
      </c>
      <c r="M267" s="44">
        <f>N267-L267</f>
        <v>0</v>
      </c>
      <c r="N267" s="44">
        <v>28.5</v>
      </c>
      <c r="O267" s="44">
        <f>P267-N267</f>
        <v>0</v>
      </c>
      <c r="P267" s="44">
        <v>28.5</v>
      </c>
      <c r="Q267" s="44">
        <f>R267-P267</f>
        <v>0</v>
      </c>
      <c r="R267" s="44">
        <v>28.5</v>
      </c>
      <c r="S267" s="44" t="e">
        <f t="shared" si="57"/>
        <v>#DIV/0!</v>
      </c>
      <c r="T267" s="44">
        <v>0</v>
      </c>
      <c r="U267" s="44">
        <v>0</v>
      </c>
      <c r="V267" s="44">
        <v>0</v>
      </c>
      <c r="W267" s="44">
        <v>0</v>
      </c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</row>
    <row r="268" spans="1:104" s="29" customFormat="1" ht="18.75" customHeight="1" thickBot="1" thickTop="1">
      <c r="A268" s="26"/>
      <c r="B268" s="73"/>
      <c r="C268" s="72" t="s">
        <v>184</v>
      </c>
      <c r="D268" s="138">
        <f aca="true" t="shared" si="58" ref="D268:P268">SUM(D262:D267)</f>
        <v>14007</v>
      </c>
      <c r="E268" s="138">
        <f t="shared" si="58"/>
        <v>20657</v>
      </c>
      <c r="F268" s="138">
        <f t="shared" si="58"/>
        <v>2091.9</v>
      </c>
      <c r="G268" s="138">
        <f t="shared" si="58"/>
        <v>1233.8000000000002</v>
      </c>
      <c r="H268" s="138">
        <f t="shared" si="58"/>
        <v>3325.7</v>
      </c>
      <c r="I268" s="138">
        <f t="shared" si="58"/>
        <v>7536.3</v>
      </c>
      <c r="J268" s="138">
        <f t="shared" si="58"/>
        <v>10862</v>
      </c>
      <c r="K268" s="138">
        <f t="shared" si="58"/>
        <v>1096.5</v>
      </c>
      <c r="L268" s="138">
        <f t="shared" si="58"/>
        <v>11958.5</v>
      </c>
      <c r="M268" s="138">
        <f t="shared" si="58"/>
        <v>1470.7</v>
      </c>
      <c r="N268" s="138">
        <f t="shared" si="58"/>
        <v>13429.2</v>
      </c>
      <c r="O268" s="138">
        <f t="shared" si="58"/>
        <v>1098</v>
      </c>
      <c r="P268" s="138">
        <f t="shared" si="58"/>
        <v>14527.2</v>
      </c>
      <c r="Q268" s="138">
        <f>SUM(Q262:Q267)</f>
        <v>1098</v>
      </c>
      <c r="R268" s="138">
        <f>SUM(R262:R267)</f>
        <v>15625.2</v>
      </c>
      <c r="S268" s="138">
        <f t="shared" si="57"/>
        <v>75.64118700682577</v>
      </c>
      <c r="T268" s="138">
        <f>SUM(T262:T267)</f>
        <v>21370</v>
      </c>
      <c r="U268" s="138">
        <f>SUM(U262:U267)</f>
        <v>15650</v>
      </c>
      <c r="V268" s="138">
        <f>SUM(V262:V267)</f>
        <v>15650</v>
      </c>
      <c r="W268" s="138">
        <f>SUM(W262:W267)</f>
        <v>15650</v>
      </c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</row>
    <row r="269" spans="2:104" s="29" customFormat="1" ht="15.75" customHeight="1">
      <c r="B269" s="30"/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</row>
    <row r="270" spans="2:104" s="29" customFormat="1" ht="12.75" customHeight="1" hidden="1">
      <c r="B270" s="30"/>
      <c r="C270" s="31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</row>
    <row r="271" spans="2:104" s="29" customFormat="1" ht="12.75" customHeight="1" hidden="1">
      <c r="B271" s="30"/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</row>
    <row r="272" spans="2:104" s="29" customFormat="1" ht="12.75" customHeight="1" hidden="1">
      <c r="B272" s="30"/>
      <c r="C272" s="31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</row>
    <row r="273" spans="2:104" s="29" customFormat="1" ht="12.75" customHeight="1" hidden="1">
      <c r="B273" s="30"/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</row>
    <row r="274" spans="2:104" s="29" customFormat="1" ht="12.75" customHeight="1" hidden="1">
      <c r="B274" s="30"/>
      <c r="C274" s="3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</row>
    <row r="275" spans="2:104" s="29" customFormat="1" ht="12.75" customHeight="1" hidden="1">
      <c r="B275" s="30"/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</row>
    <row r="276" spans="2:104" s="29" customFormat="1" ht="12.75" customHeight="1" hidden="1">
      <c r="B276" s="30"/>
      <c r="C276" s="31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</row>
    <row r="277" spans="2:104" s="29" customFormat="1" ht="15.75" customHeight="1">
      <c r="B277" s="30"/>
      <c r="C277" s="31"/>
      <c r="D277" s="32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32"/>
      <c r="U277" s="32"/>
      <c r="V277" s="32"/>
      <c r="W277" s="32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</row>
    <row r="278" spans="2:104" s="29" customFormat="1" ht="15.75" customHeight="1">
      <c r="B278" s="30"/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</row>
    <row r="279" spans="2:104" s="29" customFormat="1" ht="15.75" customHeight="1" thickBot="1">
      <c r="B279" s="30"/>
      <c r="C279" s="31"/>
      <c r="D279" s="32"/>
      <c r="E279" s="190"/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32"/>
      <c r="U279" s="32"/>
      <c r="V279" s="32"/>
      <c r="W279" s="32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</row>
    <row r="280" spans="1:104" s="29" customFormat="1" ht="15.75" customHeight="1">
      <c r="A280" s="148" t="s">
        <v>2</v>
      </c>
      <c r="B280" s="150" t="s">
        <v>3</v>
      </c>
      <c r="C280" s="211" t="s">
        <v>485</v>
      </c>
      <c r="D280" s="162" t="s">
        <v>489</v>
      </c>
      <c r="E280" s="162" t="s">
        <v>490</v>
      </c>
      <c r="F280" s="186" t="s">
        <v>6</v>
      </c>
      <c r="G280" s="186" t="s">
        <v>6</v>
      </c>
      <c r="H280" s="186" t="s">
        <v>6</v>
      </c>
      <c r="I280" s="186" t="s">
        <v>6</v>
      </c>
      <c r="J280" s="186" t="s">
        <v>6</v>
      </c>
      <c r="K280" s="186" t="s">
        <v>6</v>
      </c>
      <c r="L280" s="186" t="s">
        <v>6</v>
      </c>
      <c r="M280" s="186" t="s">
        <v>6</v>
      </c>
      <c r="N280" s="186" t="s">
        <v>6</v>
      </c>
      <c r="O280" s="186" t="s">
        <v>6</v>
      </c>
      <c r="P280" s="186" t="s">
        <v>6</v>
      </c>
      <c r="Q280" s="186" t="s">
        <v>6</v>
      </c>
      <c r="R280" s="186" t="s">
        <v>6</v>
      </c>
      <c r="S280" s="186" t="s">
        <v>7</v>
      </c>
      <c r="T280" s="186" t="s">
        <v>458</v>
      </c>
      <c r="U280" s="186" t="s">
        <v>5</v>
      </c>
      <c r="V280" s="186" t="s">
        <v>5</v>
      </c>
      <c r="W280" s="186" t="s">
        <v>5</v>
      </c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</row>
    <row r="281" spans="1:23" s="10" customFormat="1" ht="15.75" customHeight="1" thickBot="1">
      <c r="A281" s="151"/>
      <c r="B281" s="152"/>
      <c r="C281" s="153"/>
      <c r="D281" s="166">
        <v>2010</v>
      </c>
      <c r="E281" s="166">
        <v>2010</v>
      </c>
      <c r="F281" s="187" t="s">
        <v>10</v>
      </c>
      <c r="G281" s="187" t="s">
        <v>11</v>
      </c>
      <c r="H281" s="187" t="s">
        <v>12</v>
      </c>
      <c r="I281" s="187" t="s">
        <v>13</v>
      </c>
      <c r="J281" s="187" t="s">
        <v>14</v>
      </c>
      <c r="K281" s="187" t="s">
        <v>15</v>
      </c>
      <c r="L281" s="187" t="s">
        <v>16</v>
      </c>
      <c r="M281" s="187" t="s">
        <v>17</v>
      </c>
      <c r="N281" s="187" t="s">
        <v>18</v>
      </c>
      <c r="O281" s="187" t="s">
        <v>19</v>
      </c>
      <c r="P281" s="187" t="s">
        <v>20</v>
      </c>
      <c r="Q281" s="187" t="s">
        <v>21</v>
      </c>
      <c r="R281" s="187" t="s">
        <v>22</v>
      </c>
      <c r="S281" s="187" t="s">
        <v>23</v>
      </c>
      <c r="T281" s="187" t="s">
        <v>460</v>
      </c>
      <c r="U281" s="187" t="s">
        <v>461</v>
      </c>
      <c r="V281" s="187" t="s">
        <v>462</v>
      </c>
      <c r="W281" s="187" t="s">
        <v>459</v>
      </c>
    </row>
    <row r="282" spans="1:23" s="10" customFormat="1" ht="16.5" thickTop="1">
      <c r="A282" s="13">
        <v>90</v>
      </c>
      <c r="B282" s="13"/>
      <c r="C282" s="15" t="s">
        <v>185</v>
      </c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</row>
    <row r="283" spans="1:23" s="10" customFormat="1" ht="15.75">
      <c r="A283" s="17"/>
      <c r="B283" s="63"/>
      <c r="C283" s="17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</row>
    <row r="284" spans="1:23" s="10" customFormat="1" ht="15">
      <c r="A284" s="21"/>
      <c r="B284" s="54">
        <v>5311</v>
      </c>
      <c r="C284" s="21" t="s">
        <v>186</v>
      </c>
      <c r="D284" s="44">
        <v>12000</v>
      </c>
      <c r="E284" s="44">
        <v>12433</v>
      </c>
      <c r="F284" s="44">
        <v>1216.8</v>
      </c>
      <c r="G284" s="44">
        <f>H284-F284</f>
        <v>897.0000000000002</v>
      </c>
      <c r="H284" s="44">
        <v>2113.8</v>
      </c>
      <c r="I284" s="44">
        <f>J284-H284</f>
        <v>968.1999999999998</v>
      </c>
      <c r="J284" s="44">
        <v>3082</v>
      </c>
      <c r="K284" s="44">
        <f>L284-J284</f>
        <v>1207.8000000000002</v>
      </c>
      <c r="L284" s="44">
        <v>4289.8</v>
      </c>
      <c r="M284" s="44">
        <f>N284-L284</f>
        <v>937.5999999999995</v>
      </c>
      <c r="N284" s="44">
        <v>5227.4</v>
      </c>
      <c r="O284" s="44">
        <f>P284-N284</f>
        <v>892.7000000000007</v>
      </c>
      <c r="P284" s="44">
        <v>6120.1</v>
      </c>
      <c r="Q284" s="44">
        <f>R284-P284</f>
        <v>1158.5</v>
      </c>
      <c r="R284" s="44">
        <v>7278.6</v>
      </c>
      <c r="S284" s="44">
        <f>(R284/E284)*100</f>
        <v>58.542588273144055</v>
      </c>
      <c r="T284" s="44">
        <v>12363</v>
      </c>
      <c r="U284" s="44">
        <v>13595</v>
      </c>
      <c r="V284" s="44">
        <v>13713</v>
      </c>
      <c r="W284" s="44">
        <v>13132</v>
      </c>
    </row>
    <row r="285" spans="1:23" s="10" customFormat="1" ht="16.5" thickBot="1">
      <c r="A285" s="64"/>
      <c r="B285" s="64"/>
      <c r="C285" s="74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</row>
    <row r="286" spans="1:23" s="10" customFormat="1" ht="18.75" customHeight="1" thickBot="1" thickTop="1">
      <c r="A286" s="26"/>
      <c r="B286" s="73"/>
      <c r="C286" s="72" t="s">
        <v>187</v>
      </c>
      <c r="D286" s="138">
        <f aca="true" t="shared" si="59" ref="D286:P286">SUM(D282:D285)</f>
        <v>12000</v>
      </c>
      <c r="E286" s="138">
        <f t="shared" si="59"/>
        <v>12433</v>
      </c>
      <c r="F286" s="138">
        <f t="shared" si="59"/>
        <v>1216.8</v>
      </c>
      <c r="G286" s="138">
        <f t="shared" si="59"/>
        <v>897.0000000000002</v>
      </c>
      <c r="H286" s="138">
        <f t="shared" si="59"/>
        <v>2113.8</v>
      </c>
      <c r="I286" s="138">
        <f t="shared" si="59"/>
        <v>968.1999999999998</v>
      </c>
      <c r="J286" s="138">
        <f t="shared" si="59"/>
        <v>3082</v>
      </c>
      <c r="K286" s="138">
        <f t="shared" si="59"/>
        <v>1207.8000000000002</v>
      </c>
      <c r="L286" s="138">
        <f t="shared" si="59"/>
        <v>4289.8</v>
      </c>
      <c r="M286" s="138">
        <f t="shared" si="59"/>
        <v>937.5999999999995</v>
      </c>
      <c r="N286" s="138">
        <f t="shared" si="59"/>
        <v>5227.4</v>
      </c>
      <c r="O286" s="138">
        <f t="shared" si="59"/>
        <v>892.7000000000007</v>
      </c>
      <c r="P286" s="138">
        <f t="shared" si="59"/>
        <v>6120.1</v>
      </c>
      <c r="Q286" s="138">
        <f>SUM(Q282:Q285)</f>
        <v>1158.5</v>
      </c>
      <c r="R286" s="138">
        <f>SUM(R282:R285)</f>
        <v>7278.6</v>
      </c>
      <c r="S286" s="138">
        <f>(R286/E286)*100</f>
        <v>58.542588273144055</v>
      </c>
      <c r="T286" s="138">
        <f>SUM(T282:T285)</f>
        <v>12363</v>
      </c>
      <c r="U286" s="138">
        <f>SUM(U282:U285)</f>
        <v>13595</v>
      </c>
      <c r="V286" s="138">
        <f>SUM(V282:V285)</f>
        <v>13713</v>
      </c>
      <c r="W286" s="138">
        <f>SUM(W282:W285)</f>
        <v>13132</v>
      </c>
    </row>
    <row r="287" spans="1:23" s="10" customFormat="1" ht="15.75" customHeight="1">
      <c r="A287" s="29"/>
      <c r="B287" s="30"/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1:23" s="10" customFormat="1" ht="15.75" customHeight="1">
      <c r="A288" s="29"/>
      <c r="B288" s="30"/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s="10" customFormat="1" ht="15.75" customHeight="1">
      <c r="A289" s="29"/>
      <c r="B289" s="30"/>
      <c r="C289" s="31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1:23" s="10" customFormat="1" ht="15.75" customHeight="1" thickBot="1">
      <c r="A290" s="29"/>
      <c r="B290" s="30"/>
      <c r="C290" s="31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1:104" s="29" customFormat="1" ht="15.75" customHeight="1">
      <c r="A291" s="148" t="s">
        <v>2</v>
      </c>
      <c r="B291" s="150" t="s">
        <v>3</v>
      </c>
      <c r="C291" s="211" t="s">
        <v>485</v>
      </c>
      <c r="D291" s="162" t="s">
        <v>489</v>
      </c>
      <c r="E291" s="162" t="s">
        <v>490</v>
      </c>
      <c r="F291" s="186" t="s">
        <v>6</v>
      </c>
      <c r="G291" s="186" t="s">
        <v>6</v>
      </c>
      <c r="H291" s="186" t="s">
        <v>6</v>
      </c>
      <c r="I291" s="186" t="s">
        <v>6</v>
      </c>
      <c r="J291" s="186" t="s">
        <v>6</v>
      </c>
      <c r="K291" s="186" t="s">
        <v>6</v>
      </c>
      <c r="L291" s="186" t="s">
        <v>6</v>
      </c>
      <c r="M291" s="186" t="s">
        <v>6</v>
      </c>
      <c r="N291" s="186" t="s">
        <v>6</v>
      </c>
      <c r="O291" s="186" t="s">
        <v>6</v>
      </c>
      <c r="P291" s="186" t="s">
        <v>6</v>
      </c>
      <c r="Q291" s="186" t="s">
        <v>6</v>
      </c>
      <c r="R291" s="186" t="s">
        <v>6</v>
      </c>
      <c r="S291" s="186" t="s">
        <v>7</v>
      </c>
      <c r="T291" s="186" t="s">
        <v>458</v>
      </c>
      <c r="U291" s="186" t="s">
        <v>5</v>
      </c>
      <c r="V291" s="186" t="s">
        <v>5</v>
      </c>
      <c r="W291" s="186" t="s">
        <v>5</v>
      </c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</row>
    <row r="292" spans="1:23" s="10" customFormat="1" ht="15.75" customHeight="1" thickBot="1">
      <c r="A292" s="151"/>
      <c r="B292" s="152"/>
      <c r="C292" s="153"/>
      <c r="D292" s="166">
        <v>2010</v>
      </c>
      <c r="E292" s="166">
        <v>2010</v>
      </c>
      <c r="F292" s="187" t="s">
        <v>10</v>
      </c>
      <c r="G292" s="187" t="s">
        <v>11</v>
      </c>
      <c r="H292" s="187" t="s">
        <v>12</v>
      </c>
      <c r="I292" s="187" t="s">
        <v>13</v>
      </c>
      <c r="J292" s="187" t="s">
        <v>14</v>
      </c>
      <c r="K292" s="187" t="s">
        <v>15</v>
      </c>
      <c r="L292" s="187" t="s">
        <v>16</v>
      </c>
      <c r="M292" s="187" t="s">
        <v>17</v>
      </c>
      <c r="N292" s="187" t="s">
        <v>18</v>
      </c>
      <c r="O292" s="187" t="s">
        <v>19</v>
      </c>
      <c r="P292" s="187" t="s">
        <v>20</v>
      </c>
      <c r="Q292" s="187" t="s">
        <v>21</v>
      </c>
      <c r="R292" s="187" t="s">
        <v>22</v>
      </c>
      <c r="S292" s="187" t="s">
        <v>23</v>
      </c>
      <c r="T292" s="187" t="s">
        <v>460</v>
      </c>
      <c r="U292" s="187" t="s">
        <v>461</v>
      </c>
      <c r="V292" s="187" t="s">
        <v>462</v>
      </c>
      <c r="W292" s="187" t="s">
        <v>459</v>
      </c>
    </row>
    <row r="293" spans="1:23" s="10" customFormat="1" ht="16.5" thickTop="1">
      <c r="A293" s="13">
        <v>100</v>
      </c>
      <c r="B293" s="13"/>
      <c r="C293" s="15" t="s">
        <v>188</v>
      </c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</row>
    <row r="294" spans="1:23" s="10" customFormat="1" ht="15.75">
      <c r="A294" s="17"/>
      <c r="B294" s="63"/>
      <c r="C294" s="17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</row>
    <row r="295" spans="1:23" s="10" customFormat="1" ht="15">
      <c r="A295" s="21"/>
      <c r="B295" s="54">
        <v>3635</v>
      </c>
      <c r="C295" s="21" t="s">
        <v>189</v>
      </c>
      <c r="D295" s="134">
        <v>3400</v>
      </c>
      <c r="E295" s="134">
        <v>2400</v>
      </c>
      <c r="F295" s="134">
        <v>19.2</v>
      </c>
      <c r="G295" s="44">
        <f>H295-F295</f>
        <v>24.000000000000004</v>
      </c>
      <c r="H295" s="134">
        <v>43.2</v>
      </c>
      <c r="I295" s="44">
        <f>J295-H295</f>
        <v>0</v>
      </c>
      <c r="J295" s="134">
        <v>43.2</v>
      </c>
      <c r="K295" s="44">
        <f>L295-J295</f>
        <v>0</v>
      </c>
      <c r="L295" s="134">
        <v>43.2</v>
      </c>
      <c r="M295" s="44">
        <f>N295-L295</f>
        <v>24</v>
      </c>
      <c r="N295" s="134">
        <v>67.2</v>
      </c>
      <c r="O295" s="44">
        <f>P295-N295</f>
        <v>0</v>
      </c>
      <c r="P295" s="134">
        <v>67.2</v>
      </c>
      <c r="Q295" s="44">
        <f>R295-P295</f>
        <v>88.8</v>
      </c>
      <c r="R295" s="134">
        <v>156</v>
      </c>
      <c r="S295" s="44">
        <f>(R295/E295)*100</f>
        <v>6.5</v>
      </c>
      <c r="T295" s="134">
        <v>1500</v>
      </c>
      <c r="U295" s="134">
        <v>5000</v>
      </c>
      <c r="V295" s="134">
        <v>1500</v>
      </c>
      <c r="W295" s="134">
        <v>1200</v>
      </c>
    </row>
    <row r="296" spans="1:23" s="10" customFormat="1" ht="16.5" thickBot="1">
      <c r="A296" s="64"/>
      <c r="B296" s="156">
        <v>2169</v>
      </c>
      <c r="C296" s="118" t="s">
        <v>190</v>
      </c>
      <c r="D296" s="157">
        <v>150</v>
      </c>
      <c r="E296" s="157">
        <v>150</v>
      </c>
      <c r="F296" s="157">
        <v>0</v>
      </c>
      <c r="G296" s="44">
        <f>H296-F296</f>
        <v>0</v>
      </c>
      <c r="H296" s="157">
        <v>0</v>
      </c>
      <c r="I296" s="44">
        <f>J296-H296</f>
        <v>0</v>
      </c>
      <c r="J296" s="157">
        <v>0</v>
      </c>
      <c r="K296" s="44">
        <f>L296-J296</f>
        <v>0</v>
      </c>
      <c r="L296" s="157">
        <v>0</v>
      </c>
      <c r="M296" s="44">
        <f>N296-L296</f>
        <v>0</v>
      </c>
      <c r="N296" s="157">
        <v>0</v>
      </c>
      <c r="O296" s="44">
        <f>P296-N296</f>
        <v>0</v>
      </c>
      <c r="P296" s="157">
        <v>0</v>
      </c>
      <c r="Q296" s="44">
        <f>R296-P296</f>
        <v>48.2</v>
      </c>
      <c r="R296" s="157">
        <v>48.2</v>
      </c>
      <c r="S296" s="44">
        <f>(R296/E296)*100</f>
        <v>32.13333333333333</v>
      </c>
      <c r="T296" s="157">
        <v>48.2</v>
      </c>
      <c r="U296" s="157">
        <v>300</v>
      </c>
      <c r="V296" s="157">
        <v>300</v>
      </c>
      <c r="W296" s="157">
        <v>300</v>
      </c>
    </row>
    <row r="297" spans="1:23" s="10" customFormat="1" ht="18.75" customHeight="1" thickBot="1" thickTop="1">
      <c r="A297" s="26"/>
      <c r="B297" s="73"/>
      <c r="C297" s="72" t="s">
        <v>187</v>
      </c>
      <c r="D297" s="138">
        <f aca="true" t="shared" si="60" ref="D297:P297">SUM(D293:D296)</f>
        <v>3550</v>
      </c>
      <c r="E297" s="138">
        <f t="shared" si="60"/>
        <v>2550</v>
      </c>
      <c r="F297" s="138">
        <f t="shared" si="60"/>
        <v>19.2</v>
      </c>
      <c r="G297" s="138">
        <f t="shared" si="60"/>
        <v>24.000000000000004</v>
      </c>
      <c r="H297" s="138">
        <f t="shared" si="60"/>
        <v>43.2</v>
      </c>
      <c r="I297" s="138">
        <f t="shared" si="60"/>
        <v>0</v>
      </c>
      <c r="J297" s="138">
        <f t="shared" si="60"/>
        <v>43.2</v>
      </c>
      <c r="K297" s="138">
        <f t="shared" si="60"/>
        <v>0</v>
      </c>
      <c r="L297" s="138">
        <f t="shared" si="60"/>
        <v>43.2</v>
      </c>
      <c r="M297" s="138">
        <f t="shared" si="60"/>
        <v>24</v>
      </c>
      <c r="N297" s="138">
        <f t="shared" si="60"/>
        <v>67.2</v>
      </c>
      <c r="O297" s="138">
        <f t="shared" si="60"/>
        <v>0</v>
      </c>
      <c r="P297" s="138">
        <f t="shared" si="60"/>
        <v>67.2</v>
      </c>
      <c r="Q297" s="138">
        <f>SUM(Q293:Q296)</f>
        <v>137</v>
      </c>
      <c r="R297" s="138">
        <f>SUM(R293:R296)</f>
        <v>204.2</v>
      </c>
      <c r="S297" s="138">
        <f>(R297/E297)*100</f>
        <v>8.007843137254902</v>
      </c>
      <c r="T297" s="138">
        <f>SUM(T293:T296)</f>
        <v>1548.2</v>
      </c>
      <c r="U297" s="138">
        <f>SUM(U293:U296)</f>
        <v>5300</v>
      </c>
      <c r="V297" s="138">
        <f>SUM(V293:V296)</f>
        <v>1800</v>
      </c>
      <c r="W297" s="138">
        <f>SUM(W293:W296)</f>
        <v>1500</v>
      </c>
    </row>
    <row r="298" spans="1:23" s="10" customFormat="1" ht="15.75" customHeight="1">
      <c r="A298" s="29"/>
      <c r="B298" s="30"/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1:23" s="10" customFormat="1" ht="15.75" customHeight="1">
      <c r="A299" s="29"/>
      <c r="B299" s="30"/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1:23" s="10" customFormat="1" ht="15.75" customHeight="1">
      <c r="A300" s="29"/>
      <c r="B300" s="30"/>
      <c r="C300" s="31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1:23" s="10" customFormat="1" ht="15.75" customHeight="1" hidden="1">
      <c r="A301" s="29"/>
      <c r="B301" s="30"/>
      <c r="C301" s="31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1:23" s="10" customFormat="1" ht="15.75" customHeight="1" hidden="1">
      <c r="A302" s="29"/>
      <c r="B302" s="30"/>
      <c r="C302" s="31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1:23" s="10" customFormat="1" ht="15.75" customHeight="1" hidden="1">
      <c r="A303" s="29"/>
      <c r="B303" s="30"/>
      <c r="C303" s="3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1:23" s="10" customFormat="1" ht="15.75" customHeight="1">
      <c r="A304" s="29"/>
      <c r="B304" s="30"/>
      <c r="C304" s="31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1:23" s="10" customFormat="1" ht="15.75" customHeight="1" thickBot="1">
      <c r="A305" s="29"/>
      <c r="B305" s="30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1:23" s="10" customFormat="1" ht="15.75" customHeight="1" hidden="1">
      <c r="A306" s="29"/>
      <c r="B306" s="30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1:23" s="10" customFormat="1" ht="15.75" customHeight="1" hidden="1">
      <c r="A307" s="29"/>
      <c r="B307" s="30"/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2:23" s="10" customFormat="1" ht="15.75" customHeight="1" hidden="1" thickBot="1">
      <c r="B308" s="33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85"/>
      <c r="Q308" s="185"/>
      <c r="R308" s="185"/>
      <c r="S308" s="185"/>
      <c r="T308" s="185"/>
      <c r="U308" s="185"/>
      <c r="V308" s="185"/>
      <c r="W308" s="185"/>
    </row>
    <row r="309" spans="1:23" s="10" customFormat="1" ht="18">
      <c r="A309" s="148" t="s">
        <v>2</v>
      </c>
      <c r="B309" s="150" t="s">
        <v>3</v>
      </c>
      <c r="C309" s="211" t="s">
        <v>485</v>
      </c>
      <c r="D309" s="162" t="s">
        <v>489</v>
      </c>
      <c r="E309" s="162" t="s">
        <v>490</v>
      </c>
      <c r="F309" s="186" t="s">
        <v>6</v>
      </c>
      <c r="G309" s="186" t="s">
        <v>6</v>
      </c>
      <c r="H309" s="186" t="s">
        <v>6</v>
      </c>
      <c r="I309" s="186" t="s">
        <v>6</v>
      </c>
      <c r="J309" s="186" t="s">
        <v>6</v>
      </c>
      <c r="K309" s="186" t="s">
        <v>6</v>
      </c>
      <c r="L309" s="186" t="s">
        <v>6</v>
      </c>
      <c r="M309" s="186" t="s">
        <v>6</v>
      </c>
      <c r="N309" s="186" t="s">
        <v>6</v>
      </c>
      <c r="O309" s="186" t="s">
        <v>6</v>
      </c>
      <c r="P309" s="186" t="s">
        <v>6</v>
      </c>
      <c r="Q309" s="186" t="s">
        <v>6</v>
      </c>
      <c r="R309" s="186" t="s">
        <v>6</v>
      </c>
      <c r="S309" s="186" t="s">
        <v>7</v>
      </c>
      <c r="T309" s="186" t="s">
        <v>458</v>
      </c>
      <c r="U309" s="186" t="s">
        <v>5</v>
      </c>
      <c r="V309" s="186" t="s">
        <v>5</v>
      </c>
      <c r="W309" s="186" t="s">
        <v>5</v>
      </c>
    </row>
    <row r="310" spans="1:23" s="10" customFormat="1" ht="15.75" customHeight="1" thickBot="1">
      <c r="A310" s="151"/>
      <c r="B310" s="152"/>
      <c r="C310" s="153"/>
      <c r="D310" s="166">
        <v>2010</v>
      </c>
      <c r="E310" s="166">
        <v>2010</v>
      </c>
      <c r="F310" s="187" t="s">
        <v>10</v>
      </c>
      <c r="G310" s="187" t="s">
        <v>11</v>
      </c>
      <c r="H310" s="187" t="s">
        <v>12</v>
      </c>
      <c r="I310" s="187" t="s">
        <v>13</v>
      </c>
      <c r="J310" s="187" t="s">
        <v>14</v>
      </c>
      <c r="K310" s="187" t="s">
        <v>15</v>
      </c>
      <c r="L310" s="187" t="s">
        <v>16</v>
      </c>
      <c r="M310" s="187" t="s">
        <v>17</v>
      </c>
      <c r="N310" s="187" t="s">
        <v>18</v>
      </c>
      <c r="O310" s="187" t="s">
        <v>19</v>
      </c>
      <c r="P310" s="187" t="s">
        <v>20</v>
      </c>
      <c r="Q310" s="187" t="s">
        <v>21</v>
      </c>
      <c r="R310" s="187" t="s">
        <v>22</v>
      </c>
      <c r="S310" s="187" t="s">
        <v>23</v>
      </c>
      <c r="T310" s="187" t="s">
        <v>460</v>
      </c>
      <c r="U310" s="187" t="s">
        <v>461</v>
      </c>
      <c r="V310" s="187" t="s">
        <v>462</v>
      </c>
      <c r="W310" s="187" t="s">
        <v>459</v>
      </c>
    </row>
    <row r="311" spans="1:23" s="10" customFormat="1" ht="16.5" thickTop="1">
      <c r="A311" s="13">
        <v>110</v>
      </c>
      <c r="B311" s="13"/>
      <c r="C311" s="15" t="s">
        <v>191</v>
      </c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</row>
    <row r="312" spans="1:23" s="10" customFormat="1" ht="15" customHeight="1">
      <c r="A312" s="17"/>
      <c r="B312" s="63"/>
      <c r="C312" s="17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</row>
    <row r="313" spans="1:23" s="10" customFormat="1" ht="15" customHeight="1" hidden="1">
      <c r="A313" s="21"/>
      <c r="B313" s="54">
        <v>3611</v>
      </c>
      <c r="C313" s="21" t="s">
        <v>192</v>
      </c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</row>
    <row r="314" spans="1:23" s="10" customFormat="1" ht="15">
      <c r="A314" s="21"/>
      <c r="B314" s="54">
        <v>6310</v>
      </c>
      <c r="C314" s="21" t="s">
        <v>193</v>
      </c>
      <c r="D314" s="44">
        <v>4226</v>
      </c>
      <c r="E314" s="44">
        <v>4226</v>
      </c>
      <c r="F314" s="44">
        <v>658.7</v>
      </c>
      <c r="G314" s="44">
        <f>H314-F314</f>
        <v>428.89999999999986</v>
      </c>
      <c r="H314" s="44">
        <v>1087.6</v>
      </c>
      <c r="I314" s="44">
        <f>J314-H314</f>
        <v>349.60000000000014</v>
      </c>
      <c r="J314" s="44">
        <v>1437.2</v>
      </c>
      <c r="K314" s="44">
        <f>L314-J314</f>
        <v>358.20000000000005</v>
      </c>
      <c r="L314" s="44">
        <v>1795.4</v>
      </c>
      <c r="M314" s="44">
        <f>N314-L314</f>
        <v>341.4000000000001</v>
      </c>
      <c r="N314" s="44">
        <v>2136.8</v>
      </c>
      <c r="O314" s="44">
        <f>P314-N314</f>
        <v>346.7999999999997</v>
      </c>
      <c r="P314" s="44">
        <v>2483.6</v>
      </c>
      <c r="Q314" s="44">
        <f>R314-P314</f>
        <v>341.8000000000002</v>
      </c>
      <c r="R314" s="44">
        <v>2825.4</v>
      </c>
      <c r="S314" s="44">
        <f>(R314/E314)*100</f>
        <v>66.8575485092286</v>
      </c>
      <c r="T314" s="44">
        <v>4226</v>
      </c>
      <c r="U314" s="44">
        <v>3366</v>
      </c>
      <c r="V314" s="44">
        <v>2626</v>
      </c>
      <c r="W314" s="44">
        <v>1910</v>
      </c>
    </row>
    <row r="315" spans="1:23" s="10" customFormat="1" ht="15">
      <c r="A315" s="21"/>
      <c r="B315" s="54">
        <v>6399</v>
      </c>
      <c r="C315" s="21" t="s">
        <v>194</v>
      </c>
      <c r="D315" s="44">
        <v>77850</v>
      </c>
      <c r="E315" s="44">
        <v>77431</v>
      </c>
      <c r="F315" s="44">
        <v>1823.2</v>
      </c>
      <c r="G315" s="44">
        <f>H315-F315</f>
        <v>76.29999999999995</v>
      </c>
      <c r="H315" s="44">
        <v>1899.5</v>
      </c>
      <c r="I315" s="44">
        <f>J315-H315</f>
        <v>959.0999999999999</v>
      </c>
      <c r="J315" s="44">
        <v>2858.6</v>
      </c>
      <c r="K315" s="44">
        <f>L315-J315</f>
        <v>72731.29999999999</v>
      </c>
      <c r="L315" s="44">
        <v>75589.9</v>
      </c>
      <c r="M315" s="44">
        <f>N315-L315</f>
        <v>138.40000000000873</v>
      </c>
      <c r="N315" s="44">
        <v>75728.3</v>
      </c>
      <c r="O315" s="44">
        <f>P315-N315</f>
        <v>-8.5</v>
      </c>
      <c r="P315" s="44">
        <v>75719.8</v>
      </c>
      <c r="Q315" s="44">
        <f>R315-P315</f>
        <v>215</v>
      </c>
      <c r="R315" s="44">
        <v>75934.8</v>
      </c>
      <c r="S315" s="44">
        <f>(R315/E315)*100</f>
        <v>98.06769898361122</v>
      </c>
      <c r="T315" s="44">
        <v>77067</v>
      </c>
      <c r="U315" s="44">
        <v>13500</v>
      </c>
      <c r="V315" s="44">
        <v>13000</v>
      </c>
      <c r="W315" s="44">
        <v>13000</v>
      </c>
    </row>
    <row r="316" spans="1:23" s="10" customFormat="1" ht="15">
      <c r="A316" s="21"/>
      <c r="B316" s="54">
        <v>6402</v>
      </c>
      <c r="C316" s="21" t="s">
        <v>195</v>
      </c>
      <c r="D316" s="44">
        <v>0</v>
      </c>
      <c r="E316" s="44">
        <v>5762.3</v>
      </c>
      <c r="F316" s="44">
        <v>5762.1</v>
      </c>
      <c r="G316" s="44">
        <f>H316-F316</f>
        <v>0</v>
      </c>
      <c r="H316" s="44">
        <v>5762.1</v>
      </c>
      <c r="I316" s="44">
        <f>J316-H316</f>
        <v>0</v>
      </c>
      <c r="J316" s="44">
        <v>5762.1</v>
      </c>
      <c r="K316" s="44">
        <f>L316-J316</f>
        <v>0</v>
      </c>
      <c r="L316" s="44">
        <v>5762.1</v>
      </c>
      <c r="M316" s="44">
        <f>N316-L316</f>
        <v>0</v>
      </c>
      <c r="N316" s="44">
        <v>5762.1</v>
      </c>
      <c r="O316" s="44">
        <f>P316-N316</f>
        <v>0</v>
      </c>
      <c r="P316" s="44">
        <v>5762.1</v>
      </c>
      <c r="Q316" s="44">
        <f>R316-P316</f>
        <v>0</v>
      </c>
      <c r="R316" s="44">
        <v>5762.1</v>
      </c>
      <c r="S316" s="44">
        <f>(R316/E316)*100</f>
        <v>99.996529163702</v>
      </c>
      <c r="T316" s="44">
        <v>5762</v>
      </c>
      <c r="U316" s="44">
        <v>0</v>
      </c>
      <c r="V316" s="44">
        <v>0</v>
      </c>
      <c r="W316" s="44">
        <v>0</v>
      </c>
    </row>
    <row r="317" spans="1:23" s="10" customFormat="1" ht="15" hidden="1">
      <c r="A317" s="21"/>
      <c r="B317" s="54">
        <v>6409</v>
      </c>
      <c r="C317" s="21" t="s">
        <v>196</v>
      </c>
      <c r="D317" s="44">
        <v>0</v>
      </c>
      <c r="E317" s="44">
        <v>0</v>
      </c>
      <c r="F317" s="44">
        <v>-105.3</v>
      </c>
      <c r="G317" s="44">
        <f>H317-F317</f>
        <v>-3.299999999999997</v>
      </c>
      <c r="H317" s="44">
        <v>-108.6</v>
      </c>
      <c r="I317" s="44">
        <f>J317-H317</f>
        <v>6.5</v>
      </c>
      <c r="J317" s="44">
        <v>-102.1</v>
      </c>
      <c r="K317" s="44">
        <f>L317-J317</f>
        <v>-38.30000000000001</v>
      </c>
      <c r="L317" s="44">
        <v>-140.4</v>
      </c>
      <c r="M317" s="44">
        <f>N317-L317</f>
        <v>173.9</v>
      </c>
      <c r="N317" s="44">
        <v>33.5</v>
      </c>
      <c r="O317" s="44">
        <f>P317-N317</f>
        <v>-20.5</v>
      </c>
      <c r="P317" s="44">
        <v>13</v>
      </c>
      <c r="Q317" s="44">
        <f>R317-P317</f>
        <v>40.2</v>
      </c>
      <c r="R317" s="44">
        <v>53.2</v>
      </c>
      <c r="S317" s="44" t="e">
        <f>(R317/E317)*100</f>
        <v>#DIV/0!</v>
      </c>
      <c r="T317" s="44">
        <v>0</v>
      </c>
      <c r="U317" s="44">
        <v>0</v>
      </c>
      <c r="V317" s="44">
        <v>0</v>
      </c>
      <c r="W317" s="44">
        <v>0</v>
      </c>
    </row>
    <row r="318" spans="1:23" s="37" customFormat="1" ht="20.25" customHeight="1">
      <c r="A318" s="15"/>
      <c r="B318" s="13">
        <v>6409</v>
      </c>
      <c r="C318" s="15" t="s">
        <v>197</v>
      </c>
      <c r="D318" s="158">
        <v>0</v>
      </c>
      <c r="E318" s="158">
        <v>750.7</v>
      </c>
      <c r="F318" s="158">
        <v>0</v>
      </c>
      <c r="G318" s="44">
        <f>H318-F318</f>
        <v>0</v>
      </c>
      <c r="H318" s="158">
        <v>0</v>
      </c>
      <c r="I318" s="44">
        <f>J318-H318</f>
        <v>0</v>
      </c>
      <c r="J318" s="158">
        <v>0</v>
      </c>
      <c r="K318" s="44">
        <f>L318-J318</f>
        <v>0</v>
      </c>
      <c r="L318" s="158">
        <v>0</v>
      </c>
      <c r="M318" s="44">
        <f>N318-L318</f>
        <v>0</v>
      </c>
      <c r="N318" s="158">
        <v>0</v>
      </c>
      <c r="O318" s="44">
        <f>P318-N318</f>
        <v>0</v>
      </c>
      <c r="P318" s="158">
        <v>0</v>
      </c>
      <c r="Q318" s="44">
        <f>R318-P318</f>
        <v>0</v>
      </c>
      <c r="R318" s="158">
        <v>0</v>
      </c>
      <c r="S318" s="44">
        <f>(R318/E318)*100</f>
        <v>0</v>
      </c>
      <c r="T318" s="158">
        <v>0</v>
      </c>
      <c r="U318" s="158">
        <v>1850</v>
      </c>
      <c r="V318" s="158">
        <f>14591+1823</f>
        <v>16414</v>
      </c>
      <c r="W318" s="158">
        <f>24017+1823</f>
        <v>25840</v>
      </c>
    </row>
    <row r="319" spans="1:23" s="10" customFormat="1" ht="15.75" thickBot="1">
      <c r="A319" s="22"/>
      <c r="B319" s="65"/>
      <c r="C319" s="22"/>
      <c r="D319" s="199"/>
      <c r="E319" s="199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</row>
    <row r="320" spans="1:23" s="10" customFormat="1" ht="18.75" customHeight="1" thickBot="1" thickTop="1">
      <c r="A320" s="26"/>
      <c r="B320" s="73"/>
      <c r="C320" s="72" t="s">
        <v>198</v>
      </c>
      <c r="D320" s="200">
        <f aca="true" t="shared" si="61" ref="D320:P320">SUM(D312:D318)</f>
        <v>82076</v>
      </c>
      <c r="E320" s="200">
        <f t="shared" si="61"/>
        <v>88170</v>
      </c>
      <c r="F320" s="200">
        <f t="shared" si="61"/>
        <v>8138.7</v>
      </c>
      <c r="G320" s="200">
        <f t="shared" si="61"/>
        <v>501.8999999999998</v>
      </c>
      <c r="H320" s="200">
        <f t="shared" si="61"/>
        <v>8640.6</v>
      </c>
      <c r="I320" s="200">
        <f t="shared" si="61"/>
        <v>1315.2</v>
      </c>
      <c r="J320" s="200">
        <f t="shared" si="61"/>
        <v>9955.800000000001</v>
      </c>
      <c r="K320" s="200">
        <f t="shared" si="61"/>
        <v>73051.19999999998</v>
      </c>
      <c r="L320" s="200">
        <f t="shared" si="61"/>
        <v>83007</v>
      </c>
      <c r="M320" s="200">
        <f t="shared" si="61"/>
        <v>653.7000000000088</v>
      </c>
      <c r="N320" s="200">
        <f t="shared" si="61"/>
        <v>83660.70000000001</v>
      </c>
      <c r="O320" s="200">
        <f t="shared" si="61"/>
        <v>317.7999999999997</v>
      </c>
      <c r="P320" s="200">
        <f t="shared" si="61"/>
        <v>83978.50000000001</v>
      </c>
      <c r="Q320" s="200">
        <f>SUM(Q312:Q318)</f>
        <v>597.0000000000002</v>
      </c>
      <c r="R320" s="200">
        <f>SUM(R312:R318)</f>
        <v>84575.5</v>
      </c>
      <c r="S320" s="138">
        <f>(R320/E320)*100</f>
        <v>95.92321651355337</v>
      </c>
      <c r="T320" s="200">
        <f>SUM(T312:T318)</f>
        <v>87055</v>
      </c>
      <c r="U320" s="200">
        <f>SUM(U312:U318)</f>
        <v>18716</v>
      </c>
      <c r="V320" s="200">
        <f>SUM(V312:V318)</f>
        <v>32040</v>
      </c>
      <c r="W320" s="200">
        <f>SUM(W312:W318)</f>
        <v>40750</v>
      </c>
    </row>
    <row r="321" spans="1:23" s="10" customFormat="1" ht="18.75" customHeight="1">
      <c r="A321" s="29"/>
      <c r="B321" s="30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1:23" s="10" customFormat="1" ht="13.5" customHeight="1" hidden="1">
      <c r="A322" s="29"/>
      <c r="B322" s="30"/>
      <c r="C322" s="31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1:23" s="10" customFormat="1" ht="13.5" customHeight="1" hidden="1">
      <c r="A323" s="29"/>
      <c r="B323" s="30"/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1:23" s="10" customFormat="1" ht="13.5" customHeight="1" hidden="1">
      <c r="A324" s="29"/>
      <c r="B324" s="30"/>
      <c r="C324" s="31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1:23" s="10" customFormat="1" ht="13.5" customHeight="1" hidden="1">
      <c r="A325" s="29"/>
      <c r="B325" s="30"/>
      <c r="C325" s="31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1:23" s="10" customFormat="1" ht="13.5" customHeight="1" hidden="1">
      <c r="A326" s="29"/>
      <c r="B326" s="30"/>
      <c r="C326" s="31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1:23" s="10" customFormat="1" ht="16.5" customHeight="1">
      <c r="A327" s="29"/>
      <c r="B327" s="30"/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1:23" s="10" customFormat="1" ht="15.75" customHeight="1" thickBot="1">
      <c r="A328" s="29"/>
      <c r="B328" s="30"/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1:23" s="10" customFormat="1" ht="18">
      <c r="A329" s="148" t="s">
        <v>2</v>
      </c>
      <c r="B329" s="150" t="s">
        <v>3</v>
      </c>
      <c r="C329" s="211" t="s">
        <v>485</v>
      </c>
      <c r="D329" s="162" t="s">
        <v>489</v>
      </c>
      <c r="E329" s="162" t="s">
        <v>490</v>
      </c>
      <c r="F329" s="186" t="s">
        <v>6</v>
      </c>
      <c r="G329" s="186" t="s">
        <v>6</v>
      </c>
      <c r="H329" s="186" t="s">
        <v>6</v>
      </c>
      <c r="I329" s="186" t="s">
        <v>6</v>
      </c>
      <c r="J329" s="186" t="s">
        <v>6</v>
      </c>
      <c r="K329" s="186" t="s">
        <v>6</v>
      </c>
      <c r="L329" s="186" t="s">
        <v>6</v>
      </c>
      <c r="M329" s="186" t="s">
        <v>6</v>
      </c>
      <c r="N329" s="186" t="s">
        <v>6</v>
      </c>
      <c r="O329" s="186" t="s">
        <v>6</v>
      </c>
      <c r="P329" s="186" t="s">
        <v>6</v>
      </c>
      <c r="Q329" s="186" t="s">
        <v>6</v>
      </c>
      <c r="R329" s="186" t="s">
        <v>6</v>
      </c>
      <c r="S329" s="186" t="s">
        <v>7</v>
      </c>
      <c r="T329" s="186" t="s">
        <v>458</v>
      </c>
      <c r="U329" s="186" t="s">
        <v>5</v>
      </c>
      <c r="V329" s="186" t="s">
        <v>5</v>
      </c>
      <c r="W329" s="186" t="s">
        <v>5</v>
      </c>
    </row>
    <row r="330" spans="1:23" s="10" customFormat="1" ht="15.75" customHeight="1" thickBot="1">
      <c r="A330" s="151"/>
      <c r="B330" s="152"/>
      <c r="C330" s="153"/>
      <c r="D330" s="166">
        <v>2010</v>
      </c>
      <c r="E330" s="166">
        <v>2010</v>
      </c>
      <c r="F330" s="187" t="s">
        <v>10</v>
      </c>
      <c r="G330" s="187" t="s">
        <v>11</v>
      </c>
      <c r="H330" s="187" t="s">
        <v>12</v>
      </c>
      <c r="I330" s="187" t="s">
        <v>13</v>
      </c>
      <c r="J330" s="187" t="s">
        <v>14</v>
      </c>
      <c r="K330" s="187" t="s">
        <v>15</v>
      </c>
      <c r="L330" s="187" t="s">
        <v>16</v>
      </c>
      <c r="M330" s="187" t="s">
        <v>17</v>
      </c>
      <c r="N330" s="187" t="s">
        <v>18</v>
      </c>
      <c r="O330" s="187" t="s">
        <v>19</v>
      </c>
      <c r="P330" s="187" t="s">
        <v>20</v>
      </c>
      <c r="Q330" s="187" t="s">
        <v>21</v>
      </c>
      <c r="R330" s="187" t="s">
        <v>22</v>
      </c>
      <c r="S330" s="187" t="s">
        <v>23</v>
      </c>
      <c r="T330" s="187" t="s">
        <v>460</v>
      </c>
      <c r="U330" s="187" t="s">
        <v>461</v>
      </c>
      <c r="V330" s="187" t="s">
        <v>462</v>
      </c>
      <c r="W330" s="187" t="s">
        <v>459</v>
      </c>
    </row>
    <row r="331" spans="1:23" s="10" customFormat="1" ht="16.5" thickTop="1">
      <c r="A331" s="13">
        <v>120</v>
      </c>
      <c r="B331" s="13"/>
      <c r="C331" s="15" t="s">
        <v>199</v>
      </c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</row>
    <row r="332" spans="1:23" s="10" customFormat="1" ht="15" customHeight="1">
      <c r="A332" s="17"/>
      <c r="B332" s="63"/>
      <c r="C332" s="17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</row>
    <row r="333" spans="1:23" s="10" customFormat="1" ht="15.75">
      <c r="A333" s="17"/>
      <c r="B333" s="54">
        <v>2310</v>
      </c>
      <c r="C333" s="21" t="s">
        <v>200</v>
      </c>
      <c r="D333" s="139">
        <v>30</v>
      </c>
      <c r="E333" s="139">
        <v>30</v>
      </c>
      <c r="F333" s="139">
        <v>0</v>
      </c>
      <c r="G333" s="44">
        <f aca="true" t="shared" si="62" ref="G333:G342">H333-F333</f>
        <v>0</v>
      </c>
      <c r="H333" s="139">
        <v>0</v>
      </c>
      <c r="I333" s="44">
        <f aca="true" t="shared" si="63" ref="I333:I342">J333-H333</f>
        <v>0</v>
      </c>
      <c r="J333" s="139">
        <v>0</v>
      </c>
      <c r="K333" s="44">
        <f aca="true" t="shared" si="64" ref="K333:K342">L333-J333</f>
        <v>0</v>
      </c>
      <c r="L333" s="139">
        <v>0</v>
      </c>
      <c r="M333" s="44">
        <f aca="true" t="shared" si="65" ref="M333:M342">N333-L333</f>
        <v>14.4</v>
      </c>
      <c r="N333" s="139">
        <v>14.4</v>
      </c>
      <c r="O333" s="44">
        <f aca="true" t="shared" si="66" ref="O333:O342">P333-N333</f>
        <v>0</v>
      </c>
      <c r="P333" s="139">
        <v>14.4</v>
      </c>
      <c r="Q333" s="44">
        <f aca="true" t="shared" si="67" ref="Q333:Q342">R333-P333</f>
        <v>0</v>
      </c>
      <c r="R333" s="139">
        <v>14.4</v>
      </c>
      <c r="S333" s="44">
        <f aca="true" t="shared" si="68" ref="S333:S342">(R333/E333)*100</f>
        <v>48.00000000000001</v>
      </c>
      <c r="T333" s="139">
        <v>30</v>
      </c>
      <c r="U333" s="139">
        <v>30</v>
      </c>
      <c r="V333" s="139">
        <v>30</v>
      </c>
      <c r="W333" s="139">
        <v>30</v>
      </c>
    </row>
    <row r="334" spans="1:23" s="10" customFormat="1" ht="15.75" customHeight="1" hidden="1">
      <c r="A334" s="17"/>
      <c r="B334" s="54">
        <v>2321</v>
      </c>
      <c r="C334" s="21" t="s">
        <v>201</v>
      </c>
      <c r="D334" s="139">
        <v>0</v>
      </c>
      <c r="E334" s="139">
        <v>0</v>
      </c>
      <c r="F334" s="139"/>
      <c r="G334" s="44">
        <f t="shared" si="62"/>
        <v>0</v>
      </c>
      <c r="H334" s="139"/>
      <c r="I334" s="44">
        <f t="shared" si="63"/>
        <v>0</v>
      </c>
      <c r="J334" s="139"/>
      <c r="K334" s="44">
        <f t="shared" si="64"/>
        <v>0</v>
      </c>
      <c r="L334" s="139"/>
      <c r="M334" s="44">
        <f t="shared" si="65"/>
        <v>0</v>
      </c>
      <c r="N334" s="139"/>
      <c r="O334" s="44">
        <f t="shared" si="66"/>
        <v>0</v>
      </c>
      <c r="P334" s="139"/>
      <c r="Q334" s="44">
        <f t="shared" si="67"/>
        <v>0</v>
      </c>
      <c r="R334" s="139"/>
      <c r="S334" s="44" t="e">
        <f t="shared" si="68"/>
        <v>#DIV/0!</v>
      </c>
      <c r="T334" s="139"/>
      <c r="U334" s="139"/>
      <c r="V334" s="139"/>
      <c r="W334" s="139"/>
    </row>
    <row r="335" spans="1:23" s="10" customFormat="1" ht="15">
      <c r="A335" s="21"/>
      <c r="B335" s="54">
        <v>3612</v>
      </c>
      <c r="C335" s="21" t="s">
        <v>202</v>
      </c>
      <c r="D335" s="44">
        <v>1619</v>
      </c>
      <c r="E335" s="44">
        <v>2019</v>
      </c>
      <c r="F335" s="44">
        <f>4249.8-4000</f>
        <v>249.80000000000018</v>
      </c>
      <c r="G335" s="44">
        <f t="shared" si="62"/>
        <v>27.399999999999636</v>
      </c>
      <c r="H335" s="44">
        <f>6277.2-6000</f>
        <v>277.1999999999998</v>
      </c>
      <c r="I335" s="44">
        <f t="shared" si="63"/>
        <v>212.40000000000055</v>
      </c>
      <c r="J335" s="44">
        <f>8489.6-8000</f>
        <v>489.60000000000036</v>
      </c>
      <c r="K335" s="44">
        <f t="shared" si="64"/>
        <v>27.399999999999636</v>
      </c>
      <c r="L335" s="44">
        <f>8517-8000</f>
        <v>517</v>
      </c>
      <c r="M335" s="44">
        <f t="shared" si="65"/>
        <v>27.399999999999636</v>
      </c>
      <c r="N335" s="44">
        <f>10744.4-8700-1500</f>
        <v>544.3999999999996</v>
      </c>
      <c r="O335" s="44">
        <f t="shared" si="66"/>
        <v>412.4000000000003</v>
      </c>
      <c r="P335" s="44">
        <f>191.8+565+200</f>
        <v>956.8</v>
      </c>
      <c r="Q335" s="44">
        <f t="shared" si="67"/>
        <v>227.5</v>
      </c>
      <c r="R335" s="44">
        <v>1184.3</v>
      </c>
      <c r="S335" s="44">
        <f t="shared" si="68"/>
        <v>58.65775136206043</v>
      </c>
      <c r="T335" s="44">
        <v>1500</v>
      </c>
      <c r="U335" s="44">
        <v>0</v>
      </c>
      <c r="V335" s="44">
        <v>0</v>
      </c>
      <c r="W335" s="44">
        <v>0</v>
      </c>
    </row>
    <row r="336" spans="1:23" s="10" customFormat="1" ht="15">
      <c r="A336" s="21"/>
      <c r="B336" s="54">
        <v>3612</v>
      </c>
      <c r="C336" s="21" t="s">
        <v>203</v>
      </c>
      <c r="D336" s="44">
        <v>15480</v>
      </c>
      <c r="E336" s="44">
        <v>8700</v>
      </c>
      <c r="F336" s="44">
        <v>4000</v>
      </c>
      <c r="G336" s="44">
        <f t="shared" si="62"/>
        <v>2000</v>
      </c>
      <c r="H336" s="44">
        <v>6000</v>
      </c>
      <c r="I336" s="44">
        <f t="shared" si="63"/>
        <v>2000</v>
      </c>
      <c r="J336" s="44">
        <v>8000</v>
      </c>
      <c r="K336" s="44">
        <f t="shared" si="64"/>
        <v>0</v>
      </c>
      <c r="L336" s="44">
        <v>8000</v>
      </c>
      <c r="M336" s="44">
        <f t="shared" si="65"/>
        <v>700</v>
      </c>
      <c r="N336" s="44">
        <v>8700</v>
      </c>
      <c r="O336" s="44">
        <f t="shared" si="66"/>
        <v>0</v>
      </c>
      <c r="P336" s="44">
        <v>8700</v>
      </c>
      <c r="Q336" s="44">
        <f t="shared" si="67"/>
        <v>0</v>
      </c>
      <c r="R336" s="44">
        <v>8700</v>
      </c>
      <c r="S336" s="44">
        <f t="shared" si="68"/>
        <v>100</v>
      </c>
      <c r="T336" s="44">
        <v>8700</v>
      </c>
      <c r="U336" s="44">
        <v>0</v>
      </c>
      <c r="V336" s="44">
        <v>0</v>
      </c>
      <c r="W336" s="44">
        <v>0</v>
      </c>
    </row>
    <row r="337" spans="1:23" s="10" customFormat="1" ht="15">
      <c r="A337" s="21"/>
      <c r="B337" s="54">
        <v>3612</v>
      </c>
      <c r="C337" s="21" t="s">
        <v>204</v>
      </c>
      <c r="D337" s="44">
        <v>0</v>
      </c>
      <c r="E337" s="44">
        <v>1500</v>
      </c>
      <c r="F337" s="44">
        <v>0</v>
      </c>
      <c r="G337" s="44">
        <f t="shared" si="62"/>
        <v>0</v>
      </c>
      <c r="H337" s="44">
        <v>0</v>
      </c>
      <c r="I337" s="44">
        <f t="shared" si="63"/>
        <v>0</v>
      </c>
      <c r="J337" s="44">
        <v>0</v>
      </c>
      <c r="K337" s="44">
        <f t="shared" si="64"/>
        <v>0</v>
      </c>
      <c r="L337" s="44">
        <v>0</v>
      </c>
      <c r="M337" s="44">
        <f t="shared" si="65"/>
        <v>1500</v>
      </c>
      <c r="N337" s="44">
        <v>1500</v>
      </c>
      <c r="O337" s="44">
        <f t="shared" si="66"/>
        <v>0</v>
      </c>
      <c r="P337" s="44">
        <v>1500</v>
      </c>
      <c r="Q337" s="44">
        <f t="shared" si="67"/>
        <v>0</v>
      </c>
      <c r="R337" s="44">
        <v>1500</v>
      </c>
      <c r="S337" s="44">
        <f t="shared" si="68"/>
        <v>100</v>
      </c>
      <c r="T337" s="44">
        <v>1500</v>
      </c>
      <c r="U337" s="44">
        <v>0</v>
      </c>
      <c r="V337" s="44">
        <v>0</v>
      </c>
      <c r="W337" s="44">
        <v>0</v>
      </c>
    </row>
    <row r="338" spans="1:23" s="10" customFormat="1" ht="15">
      <c r="A338" s="21"/>
      <c r="B338" s="54">
        <v>3634</v>
      </c>
      <c r="C338" s="21" t="s">
        <v>205</v>
      </c>
      <c r="D338" s="44">
        <v>1200</v>
      </c>
      <c r="E338" s="44">
        <v>1200</v>
      </c>
      <c r="F338" s="44">
        <v>0</v>
      </c>
      <c r="G338" s="44">
        <f t="shared" si="62"/>
        <v>138.1</v>
      </c>
      <c r="H338" s="44">
        <v>138.1</v>
      </c>
      <c r="I338" s="44">
        <f t="shared" si="63"/>
        <v>107.80000000000001</v>
      </c>
      <c r="J338" s="44">
        <v>245.9</v>
      </c>
      <c r="K338" s="44">
        <f t="shared" si="64"/>
        <v>371.30000000000007</v>
      </c>
      <c r="L338" s="44">
        <v>617.2</v>
      </c>
      <c r="M338" s="44">
        <f t="shared" si="65"/>
        <v>43.59999999999991</v>
      </c>
      <c r="N338" s="44">
        <v>660.8</v>
      </c>
      <c r="O338" s="44">
        <f t="shared" si="66"/>
        <v>0</v>
      </c>
      <c r="P338" s="44">
        <v>660.8</v>
      </c>
      <c r="Q338" s="44">
        <f t="shared" si="67"/>
        <v>0</v>
      </c>
      <c r="R338" s="44">
        <v>660.8</v>
      </c>
      <c r="S338" s="44">
        <f t="shared" si="68"/>
        <v>55.06666666666666</v>
      </c>
      <c r="T338" s="44">
        <v>1200</v>
      </c>
      <c r="U338" s="44">
        <v>0</v>
      </c>
      <c r="V338" s="44">
        <v>0</v>
      </c>
      <c r="W338" s="44">
        <v>0</v>
      </c>
    </row>
    <row r="339" spans="1:23" s="10" customFormat="1" ht="15">
      <c r="A339" s="21"/>
      <c r="B339" s="54">
        <v>3639</v>
      </c>
      <c r="C339" s="21" t="s">
        <v>206</v>
      </c>
      <c r="D339" s="44">
        <f>6570-6000</f>
        <v>570</v>
      </c>
      <c r="E339" s="44">
        <v>370</v>
      </c>
      <c r="F339" s="44">
        <f>339.5-300</f>
        <v>39.5</v>
      </c>
      <c r="G339" s="44">
        <f t="shared" si="62"/>
        <v>0</v>
      </c>
      <c r="H339" s="44">
        <f>355.7-316.2</f>
        <v>39.5</v>
      </c>
      <c r="I339" s="44">
        <f t="shared" si="63"/>
        <v>9.900000000000034</v>
      </c>
      <c r="J339" s="44">
        <f>365.6-316.2</f>
        <v>49.400000000000034</v>
      </c>
      <c r="K339" s="44">
        <f t="shared" si="64"/>
        <v>21.69999999999999</v>
      </c>
      <c r="L339" s="44">
        <f>387.3-316.2</f>
        <v>71.10000000000002</v>
      </c>
      <c r="M339" s="44">
        <f t="shared" si="65"/>
        <v>53.599999999999966</v>
      </c>
      <c r="N339" s="44">
        <f>490.9-366.2</f>
        <v>124.69999999999999</v>
      </c>
      <c r="O339" s="44">
        <f t="shared" si="66"/>
        <v>8.300000000000011</v>
      </c>
      <c r="P339" s="44">
        <f>499.2-366.2</f>
        <v>133</v>
      </c>
      <c r="Q339" s="44">
        <f t="shared" si="67"/>
        <v>67.09999999999997</v>
      </c>
      <c r="R339" s="44">
        <f>566.3-366.2</f>
        <v>200.09999999999997</v>
      </c>
      <c r="S339" s="44">
        <f t="shared" si="68"/>
        <v>54.081081081081074</v>
      </c>
      <c r="T339" s="44">
        <v>370</v>
      </c>
      <c r="U339" s="44">
        <v>937.8</v>
      </c>
      <c r="V339" s="44">
        <v>480</v>
      </c>
      <c r="W339" s="44">
        <v>480</v>
      </c>
    </row>
    <row r="340" spans="1:23" s="10" customFormat="1" ht="15" customHeight="1" hidden="1">
      <c r="A340" s="21"/>
      <c r="B340" s="54">
        <v>3639</v>
      </c>
      <c r="C340" s="21" t="s">
        <v>207</v>
      </c>
      <c r="D340" s="44">
        <v>0</v>
      </c>
      <c r="E340" s="44">
        <v>0</v>
      </c>
      <c r="F340" s="44"/>
      <c r="G340" s="44">
        <f t="shared" si="62"/>
        <v>0</v>
      </c>
      <c r="H340" s="44"/>
      <c r="I340" s="44">
        <f t="shared" si="63"/>
        <v>0</v>
      </c>
      <c r="J340" s="44"/>
      <c r="K340" s="44">
        <f t="shared" si="64"/>
        <v>0</v>
      </c>
      <c r="L340" s="44"/>
      <c r="M340" s="44">
        <f t="shared" si="65"/>
        <v>0</v>
      </c>
      <c r="N340" s="44"/>
      <c r="O340" s="44">
        <f t="shared" si="66"/>
        <v>0</v>
      </c>
      <c r="P340" s="44"/>
      <c r="Q340" s="44">
        <f t="shared" si="67"/>
        <v>0</v>
      </c>
      <c r="R340" s="44"/>
      <c r="S340" s="44" t="e">
        <f t="shared" si="68"/>
        <v>#DIV/0!</v>
      </c>
      <c r="T340" s="44"/>
      <c r="U340" s="44"/>
      <c r="V340" s="44"/>
      <c r="W340" s="44"/>
    </row>
    <row r="341" spans="1:23" s="10" customFormat="1" ht="15">
      <c r="A341" s="21"/>
      <c r="B341" s="54">
        <v>3639</v>
      </c>
      <c r="C341" s="21" t="s">
        <v>208</v>
      </c>
      <c r="D341" s="44">
        <v>6000</v>
      </c>
      <c r="E341" s="44">
        <v>9000</v>
      </c>
      <c r="F341" s="44">
        <v>300</v>
      </c>
      <c r="G341" s="44">
        <f t="shared" si="62"/>
        <v>16.19999999999999</v>
      </c>
      <c r="H341" s="44">
        <v>316.2</v>
      </c>
      <c r="I341" s="44">
        <f t="shared" si="63"/>
        <v>0</v>
      </c>
      <c r="J341" s="44">
        <v>316.2</v>
      </c>
      <c r="K341" s="44">
        <f t="shared" si="64"/>
        <v>0</v>
      </c>
      <c r="L341" s="44">
        <v>316.2</v>
      </c>
      <c r="M341" s="44">
        <f t="shared" si="65"/>
        <v>50</v>
      </c>
      <c r="N341" s="44">
        <v>366.2</v>
      </c>
      <c r="O341" s="44">
        <f t="shared" si="66"/>
        <v>0</v>
      </c>
      <c r="P341" s="44">
        <v>366.2</v>
      </c>
      <c r="Q341" s="44">
        <f t="shared" si="67"/>
        <v>0</v>
      </c>
      <c r="R341" s="44">
        <v>366.2</v>
      </c>
      <c r="S341" s="44">
        <f t="shared" si="68"/>
        <v>4.068888888888889</v>
      </c>
      <c r="T341" s="44">
        <v>2000</v>
      </c>
      <c r="U341" s="44">
        <v>3700</v>
      </c>
      <c r="V341" s="44">
        <v>2000</v>
      </c>
      <c r="W341" s="44">
        <v>2000</v>
      </c>
    </row>
    <row r="342" spans="1:23" s="10" customFormat="1" ht="14.25" customHeight="1">
      <c r="A342" s="21"/>
      <c r="B342" s="54">
        <v>3729</v>
      </c>
      <c r="C342" s="21" t="s">
        <v>209</v>
      </c>
      <c r="D342" s="44">
        <v>101</v>
      </c>
      <c r="E342" s="44">
        <v>101</v>
      </c>
      <c r="F342" s="44">
        <v>0</v>
      </c>
      <c r="G342" s="44">
        <f t="shared" si="62"/>
        <v>0</v>
      </c>
      <c r="H342" s="44">
        <v>0</v>
      </c>
      <c r="I342" s="44">
        <f t="shared" si="63"/>
        <v>0.5</v>
      </c>
      <c r="J342" s="44">
        <v>0.5</v>
      </c>
      <c r="K342" s="44">
        <f t="shared" si="64"/>
        <v>0</v>
      </c>
      <c r="L342" s="44">
        <v>0.5</v>
      </c>
      <c r="M342" s="44">
        <f t="shared" si="65"/>
        <v>0</v>
      </c>
      <c r="N342" s="44">
        <v>0.5</v>
      </c>
      <c r="O342" s="44">
        <f t="shared" si="66"/>
        <v>0</v>
      </c>
      <c r="P342" s="44">
        <v>0.5</v>
      </c>
      <c r="Q342" s="44">
        <f t="shared" si="67"/>
        <v>0</v>
      </c>
      <c r="R342" s="44">
        <v>0.5</v>
      </c>
      <c r="S342" s="44">
        <f t="shared" si="68"/>
        <v>0.49504950495049505</v>
      </c>
      <c r="T342" s="44">
        <v>1</v>
      </c>
      <c r="U342" s="44">
        <v>1</v>
      </c>
      <c r="V342" s="44">
        <v>1</v>
      </c>
      <c r="W342" s="44">
        <v>1</v>
      </c>
    </row>
    <row r="343" spans="1:23" s="10" customFormat="1" ht="12.75" customHeight="1" thickBot="1">
      <c r="A343" s="64"/>
      <c r="B343" s="64"/>
      <c r="C343" s="74"/>
      <c r="D343" s="199"/>
      <c r="E343" s="199"/>
      <c r="F343" s="199"/>
      <c r="G343" s="199"/>
      <c r="H343" s="199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</row>
    <row r="344" spans="1:23" s="10" customFormat="1" ht="18.75" customHeight="1" thickBot="1" thickTop="1">
      <c r="A344" s="59"/>
      <c r="B344" s="73"/>
      <c r="C344" s="72" t="s">
        <v>210</v>
      </c>
      <c r="D344" s="200">
        <f aca="true" t="shared" si="69" ref="D344:P344">SUM(D333:D342)</f>
        <v>25000</v>
      </c>
      <c r="E344" s="200">
        <f t="shared" si="69"/>
        <v>22920</v>
      </c>
      <c r="F344" s="200">
        <f t="shared" si="69"/>
        <v>4589.3</v>
      </c>
      <c r="G344" s="200">
        <f t="shared" si="69"/>
        <v>2181.6999999999994</v>
      </c>
      <c r="H344" s="200">
        <f t="shared" si="69"/>
        <v>6771</v>
      </c>
      <c r="I344" s="200">
        <f t="shared" si="69"/>
        <v>2330.600000000001</v>
      </c>
      <c r="J344" s="200">
        <f t="shared" si="69"/>
        <v>9101.6</v>
      </c>
      <c r="K344" s="200">
        <f t="shared" si="69"/>
        <v>420.3999999999997</v>
      </c>
      <c r="L344" s="200">
        <f t="shared" si="69"/>
        <v>9522.000000000002</v>
      </c>
      <c r="M344" s="200">
        <f t="shared" si="69"/>
        <v>2388.9999999999995</v>
      </c>
      <c r="N344" s="200">
        <f t="shared" si="69"/>
        <v>11911</v>
      </c>
      <c r="O344" s="200">
        <f t="shared" si="69"/>
        <v>420.70000000000033</v>
      </c>
      <c r="P344" s="200">
        <f t="shared" si="69"/>
        <v>12331.7</v>
      </c>
      <c r="Q344" s="200">
        <f>SUM(Q333:Q342)</f>
        <v>294.59999999999997</v>
      </c>
      <c r="R344" s="200">
        <f>SUM(R333:R342)</f>
        <v>12626.300000000001</v>
      </c>
      <c r="S344" s="138">
        <f>(R344/E344)*100</f>
        <v>55.08856893542758</v>
      </c>
      <c r="T344" s="200">
        <f>SUM(T333:T342)</f>
        <v>15301</v>
      </c>
      <c r="U344" s="200">
        <f>SUM(U333:U342)</f>
        <v>4668.8</v>
      </c>
      <c r="V344" s="200">
        <f>SUM(V333:V342)</f>
        <v>2511</v>
      </c>
      <c r="W344" s="200">
        <f>SUM(W333:W342)</f>
        <v>2511</v>
      </c>
    </row>
    <row r="345" spans="1:23" s="10" customFormat="1" ht="15.75" customHeight="1">
      <c r="A345" s="29"/>
      <c r="B345" s="30"/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s="10" customFormat="1" ht="15.75" customHeight="1">
      <c r="A346" s="29"/>
      <c r="B346" s="30"/>
      <c r="C346" s="31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s="10" customFormat="1" ht="15.75" customHeight="1" thickBot="1">
      <c r="A347" s="29"/>
      <c r="B347" s="30"/>
      <c r="C347" s="3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s="10" customFormat="1" ht="18">
      <c r="A348" s="148" t="s">
        <v>2</v>
      </c>
      <c r="B348" s="150" t="s">
        <v>3</v>
      </c>
      <c r="C348" s="211" t="s">
        <v>485</v>
      </c>
      <c r="D348" s="162" t="s">
        <v>489</v>
      </c>
      <c r="E348" s="162" t="s">
        <v>490</v>
      </c>
      <c r="F348" s="186" t="s">
        <v>6</v>
      </c>
      <c r="G348" s="186" t="s">
        <v>6</v>
      </c>
      <c r="H348" s="186" t="s">
        <v>6</v>
      </c>
      <c r="I348" s="186" t="s">
        <v>6</v>
      </c>
      <c r="J348" s="186" t="s">
        <v>6</v>
      </c>
      <c r="K348" s="186" t="s">
        <v>6</v>
      </c>
      <c r="L348" s="186" t="s">
        <v>6</v>
      </c>
      <c r="M348" s="186" t="s">
        <v>6</v>
      </c>
      <c r="N348" s="186" t="s">
        <v>6</v>
      </c>
      <c r="O348" s="186" t="s">
        <v>6</v>
      </c>
      <c r="P348" s="186" t="s">
        <v>6</v>
      </c>
      <c r="Q348" s="186" t="s">
        <v>6</v>
      </c>
      <c r="R348" s="186" t="s">
        <v>6</v>
      </c>
      <c r="S348" s="186" t="s">
        <v>7</v>
      </c>
      <c r="T348" s="186" t="s">
        <v>458</v>
      </c>
      <c r="U348" s="186" t="s">
        <v>5</v>
      </c>
      <c r="V348" s="186" t="s">
        <v>5</v>
      </c>
      <c r="W348" s="186" t="s">
        <v>5</v>
      </c>
    </row>
    <row r="349" spans="1:23" s="10" customFormat="1" ht="15.75" customHeight="1" thickBot="1">
      <c r="A349" s="151"/>
      <c r="B349" s="152"/>
      <c r="C349" s="153"/>
      <c r="D349" s="166">
        <v>2010</v>
      </c>
      <c r="E349" s="166">
        <v>2010</v>
      </c>
      <c r="F349" s="187" t="s">
        <v>10</v>
      </c>
      <c r="G349" s="187" t="s">
        <v>11</v>
      </c>
      <c r="H349" s="187" t="s">
        <v>12</v>
      </c>
      <c r="I349" s="187" t="s">
        <v>13</v>
      </c>
      <c r="J349" s="187" t="s">
        <v>14</v>
      </c>
      <c r="K349" s="187" t="s">
        <v>15</v>
      </c>
      <c r="L349" s="187" t="s">
        <v>16</v>
      </c>
      <c r="M349" s="187" t="s">
        <v>17</v>
      </c>
      <c r="N349" s="187" t="s">
        <v>18</v>
      </c>
      <c r="O349" s="187" t="s">
        <v>19</v>
      </c>
      <c r="P349" s="187" t="s">
        <v>20</v>
      </c>
      <c r="Q349" s="187" t="s">
        <v>21</v>
      </c>
      <c r="R349" s="187" t="s">
        <v>22</v>
      </c>
      <c r="S349" s="187" t="s">
        <v>23</v>
      </c>
      <c r="T349" s="187" t="s">
        <v>460</v>
      </c>
      <c r="U349" s="187" t="s">
        <v>461</v>
      </c>
      <c r="V349" s="187" t="s">
        <v>462</v>
      </c>
      <c r="W349" s="187" t="s">
        <v>459</v>
      </c>
    </row>
    <row r="350" spans="1:23" s="10" customFormat="1" ht="16.5" thickTop="1">
      <c r="A350" s="13">
        <v>130</v>
      </c>
      <c r="B350" s="13"/>
      <c r="C350" s="15" t="s">
        <v>211</v>
      </c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</row>
    <row r="351" spans="1:23" s="10" customFormat="1" ht="15" customHeight="1">
      <c r="A351" s="17"/>
      <c r="B351" s="63"/>
      <c r="C351" s="17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</row>
    <row r="352" spans="1:23" s="10" customFormat="1" ht="15.75">
      <c r="A352" s="17"/>
      <c r="B352" s="54">
        <v>3612</v>
      </c>
      <c r="C352" s="21" t="s">
        <v>212</v>
      </c>
      <c r="D352" s="139">
        <v>0</v>
      </c>
      <c r="E352" s="139">
        <v>3753</v>
      </c>
      <c r="F352" s="139">
        <v>0</v>
      </c>
      <c r="G352" s="44">
        <f aca="true" t="shared" si="70" ref="G352:G362">H352-F352</f>
        <v>0</v>
      </c>
      <c r="H352" s="139">
        <v>0</v>
      </c>
      <c r="I352" s="44">
        <f aca="true" t="shared" si="71" ref="I352:I362">J352-H352</f>
        <v>0</v>
      </c>
      <c r="J352" s="139">
        <v>0</v>
      </c>
      <c r="K352" s="44">
        <f aca="true" t="shared" si="72" ref="K352:K362">L352-J352</f>
        <v>0</v>
      </c>
      <c r="L352" s="139">
        <v>0</v>
      </c>
      <c r="M352" s="44">
        <f aca="true" t="shared" si="73" ref="M352:M362">N352-L352</f>
        <v>0</v>
      </c>
      <c r="N352" s="139">
        <v>0</v>
      </c>
      <c r="O352" s="44">
        <f aca="true" t="shared" si="74" ref="O352:O362">P352-N352</f>
        <v>0</v>
      </c>
      <c r="P352" s="139">
        <v>0</v>
      </c>
      <c r="Q352" s="44">
        <f aca="true" t="shared" si="75" ref="Q352:Q362">R352-P352</f>
        <v>47.2</v>
      </c>
      <c r="R352" s="139">
        <v>47.2</v>
      </c>
      <c r="S352" s="44">
        <f>(R352/E352)*100</f>
        <v>1.257660538236078</v>
      </c>
      <c r="T352" s="139">
        <v>3753</v>
      </c>
      <c r="U352" s="139">
        <f>10605-2400+1163</f>
        <v>9368</v>
      </c>
      <c r="V352" s="139">
        <v>9000</v>
      </c>
      <c r="W352" s="139">
        <v>9000</v>
      </c>
    </row>
    <row r="353" spans="1:23" s="10" customFormat="1" ht="15.75" customHeight="1" hidden="1">
      <c r="A353" s="17"/>
      <c r="B353" s="54">
        <v>3613</v>
      </c>
      <c r="C353" s="21" t="s">
        <v>213</v>
      </c>
      <c r="D353" s="139">
        <v>0</v>
      </c>
      <c r="E353" s="139">
        <v>0</v>
      </c>
      <c r="F353" s="139"/>
      <c r="G353" s="44">
        <f t="shared" si="70"/>
        <v>0</v>
      </c>
      <c r="H353" s="139"/>
      <c r="I353" s="44">
        <f t="shared" si="71"/>
        <v>0</v>
      </c>
      <c r="J353" s="139"/>
      <c r="K353" s="44">
        <f t="shared" si="72"/>
        <v>0</v>
      </c>
      <c r="L353" s="139"/>
      <c r="M353" s="44">
        <f t="shared" si="73"/>
        <v>0</v>
      </c>
      <c r="N353" s="139"/>
      <c r="O353" s="44">
        <f t="shared" si="74"/>
        <v>0</v>
      </c>
      <c r="P353" s="139"/>
      <c r="Q353" s="44">
        <f t="shared" si="75"/>
        <v>0</v>
      </c>
      <c r="R353" s="139"/>
      <c r="S353" s="44" t="e">
        <f>(R353/E353)*100</f>
        <v>#DIV/0!</v>
      </c>
      <c r="T353" s="139"/>
      <c r="U353" s="139"/>
      <c r="V353" s="139"/>
      <c r="W353" s="139"/>
    </row>
    <row r="354" spans="1:23" s="10" customFormat="1" ht="15">
      <c r="A354" s="21"/>
      <c r="B354" s="54">
        <v>3613</v>
      </c>
      <c r="C354" s="21" t="s">
        <v>213</v>
      </c>
      <c r="D354" s="139">
        <v>0</v>
      </c>
      <c r="E354" s="139">
        <v>5857</v>
      </c>
      <c r="F354" s="139">
        <v>0</v>
      </c>
      <c r="G354" s="44">
        <f t="shared" si="70"/>
        <v>0</v>
      </c>
      <c r="H354" s="139">
        <v>0</v>
      </c>
      <c r="I354" s="44">
        <f t="shared" si="71"/>
        <v>0</v>
      </c>
      <c r="J354" s="139">
        <v>0</v>
      </c>
      <c r="K354" s="44">
        <f t="shared" si="72"/>
        <v>0</v>
      </c>
      <c r="L354" s="139">
        <v>0</v>
      </c>
      <c r="M354" s="44">
        <f t="shared" si="73"/>
        <v>0</v>
      </c>
      <c r="N354" s="139">
        <v>0</v>
      </c>
      <c r="O354" s="44">
        <f t="shared" si="74"/>
        <v>0</v>
      </c>
      <c r="P354" s="139">
        <v>0</v>
      </c>
      <c r="Q354" s="44">
        <f t="shared" si="75"/>
        <v>1056.9</v>
      </c>
      <c r="R354" s="139">
        <v>1056.9</v>
      </c>
      <c r="S354" s="44">
        <f>(R354/E354)*100</f>
        <v>18.04507427010415</v>
      </c>
      <c r="T354" s="139">
        <v>5857</v>
      </c>
      <c r="U354" s="139">
        <v>4177</v>
      </c>
      <c r="V354" s="139">
        <v>4000</v>
      </c>
      <c r="W354" s="139">
        <v>4000</v>
      </c>
    </row>
    <row r="355" spans="1:23" s="10" customFormat="1" ht="15">
      <c r="A355" s="21"/>
      <c r="B355" s="54">
        <v>3634</v>
      </c>
      <c r="C355" s="21" t="s">
        <v>205</v>
      </c>
      <c r="D355" s="139">
        <v>0</v>
      </c>
      <c r="E355" s="139">
        <v>0</v>
      </c>
      <c r="F355" s="139"/>
      <c r="G355" s="44"/>
      <c r="H355" s="139"/>
      <c r="I355" s="44"/>
      <c r="J355" s="139"/>
      <c r="K355" s="44"/>
      <c r="L355" s="139"/>
      <c r="M355" s="44"/>
      <c r="N355" s="139"/>
      <c r="O355" s="44"/>
      <c r="P355" s="139"/>
      <c r="Q355" s="44"/>
      <c r="R355" s="139">
        <v>0</v>
      </c>
      <c r="S355" s="44"/>
      <c r="T355" s="139">
        <v>0</v>
      </c>
      <c r="U355" s="139">
        <f>600-300</f>
        <v>300</v>
      </c>
      <c r="V355" s="139">
        <v>600</v>
      </c>
      <c r="W355" s="139">
        <v>600</v>
      </c>
    </row>
    <row r="356" spans="1:23" s="10" customFormat="1" ht="15" hidden="1">
      <c r="A356" s="21"/>
      <c r="B356" s="54">
        <v>6409</v>
      </c>
      <c r="C356" s="21" t="s">
        <v>214</v>
      </c>
      <c r="D356" s="139">
        <v>0</v>
      </c>
      <c r="E356" s="139">
        <v>0</v>
      </c>
      <c r="F356" s="139">
        <v>0</v>
      </c>
      <c r="G356" s="44">
        <f t="shared" si="70"/>
        <v>0</v>
      </c>
      <c r="H356" s="139">
        <v>0</v>
      </c>
      <c r="I356" s="44">
        <f t="shared" si="71"/>
        <v>0</v>
      </c>
      <c r="J356" s="139">
        <v>0</v>
      </c>
      <c r="K356" s="44">
        <f t="shared" si="72"/>
        <v>0</v>
      </c>
      <c r="L356" s="139">
        <v>0</v>
      </c>
      <c r="M356" s="44">
        <f t="shared" si="73"/>
        <v>0</v>
      </c>
      <c r="N356" s="139">
        <v>0</v>
      </c>
      <c r="O356" s="44">
        <f t="shared" si="74"/>
        <v>0</v>
      </c>
      <c r="P356" s="139">
        <v>0</v>
      </c>
      <c r="Q356" s="44">
        <f t="shared" si="75"/>
        <v>-15.4</v>
      </c>
      <c r="R356" s="139">
        <v>-15.4</v>
      </c>
      <c r="S356" s="44" t="e">
        <f>(R356/E356)*100</f>
        <v>#DIV/0!</v>
      </c>
      <c r="T356" s="139">
        <v>0</v>
      </c>
      <c r="U356" s="139">
        <v>0</v>
      </c>
      <c r="V356" s="139">
        <v>0</v>
      </c>
      <c r="W356" s="139">
        <v>0</v>
      </c>
    </row>
    <row r="357" spans="1:23" s="10" customFormat="1" ht="15" customHeight="1" hidden="1">
      <c r="A357" s="21"/>
      <c r="B357" s="54"/>
      <c r="C357" s="21"/>
      <c r="D357" s="139">
        <v>0</v>
      </c>
      <c r="E357" s="139">
        <v>0</v>
      </c>
      <c r="F357" s="139">
        <v>0</v>
      </c>
      <c r="G357" s="44">
        <f t="shared" si="70"/>
        <v>0</v>
      </c>
      <c r="H357" s="139">
        <v>0</v>
      </c>
      <c r="I357" s="44">
        <f t="shared" si="71"/>
        <v>0</v>
      </c>
      <c r="J357" s="139">
        <v>0</v>
      </c>
      <c r="K357" s="44">
        <f t="shared" si="72"/>
        <v>0</v>
      </c>
      <c r="L357" s="139">
        <v>0</v>
      </c>
      <c r="M357" s="44">
        <f t="shared" si="73"/>
        <v>0</v>
      </c>
      <c r="N357" s="139">
        <v>0</v>
      </c>
      <c r="O357" s="44">
        <f t="shared" si="74"/>
        <v>0</v>
      </c>
      <c r="P357" s="139">
        <v>0</v>
      </c>
      <c r="Q357" s="44">
        <f t="shared" si="75"/>
        <v>0</v>
      </c>
      <c r="R357" s="139">
        <v>0</v>
      </c>
      <c r="S357" s="44" t="e">
        <f aca="true" t="shared" si="76" ref="S357:S362">(P357/E357)*100</f>
        <v>#DIV/0!</v>
      </c>
      <c r="T357" s="139">
        <v>0</v>
      </c>
      <c r="U357" s="139">
        <v>0</v>
      </c>
      <c r="V357" s="139">
        <v>0</v>
      </c>
      <c r="W357" s="139">
        <v>0</v>
      </c>
    </row>
    <row r="358" spans="1:23" s="10" customFormat="1" ht="15" customHeight="1" hidden="1">
      <c r="A358" s="21"/>
      <c r="B358" s="54"/>
      <c r="C358" s="21"/>
      <c r="D358" s="139">
        <v>0</v>
      </c>
      <c r="E358" s="139">
        <v>0</v>
      </c>
      <c r="F358" s="139">
        <v>0</v>
      </c>
      <c r="G358" s="44">
        <f t="shared" si="70"/>
        <v>0</v>
      </c>
      <c r="H358" s="139">
        <v>0</v>
      </c>
      <c r="I358" s="44">
        <f t="shared" si="71"/>
        <v>0</v>
      </c>
      <c r="J358" s="139">
        <v>0</v>
      </c>
      <c r="K358" s="44">
        <f t="shared" si="72"/>
        <v>0</v>
      </c>
      <c r="L358" s="139">
        <v>0</v>
      </c>
      <c r="M358" s="44">
        <f t="shared" si="73"/>
        <v>0</v>
      </c>
      <c r="N358" s="139">
        <v>0</v>
      </c>
      <c r="O358" s="44">
        <f t="shared" si="74"/>
        <v>0</v>
      </c>
      <c r="P358" s="139">
        <v>0</v>
      </c>
      <c r="Q358" s="44">
        <f t="shared" si="75"/>
        <v>0</v>
      </c>
      <c r="R358" s="139">
        <v>0</v>
      </c>
      <c r="S358" s="44" t="e">
        <f t="shared" si="76"/>
        <v>#DIV/0!</v>
      </c>
      <c r="T358" s="139">
        <v>0</v>
      </c>
      <c r="U358" s="139">
        <v>0</v>
      </c>
      <c r="V358" s="139">
        <v>0</v>
      </c>
      <c r="W358" s="139">
        <v>0</v>
      </c>
    </row>
    <row r="359" spans="1:23" s="10" customFormat="1" ht="15" customHeight="1" hidden="1">
      <c r="A359" s="21"/>
      <c r="B359" s="54"/>
      <c r="C359" s="21"/>
      <c r="D359" s="139">
        <v>0</v>
      </c>
      <c r="E359" s="139">
        <v>0</v>
      </c>
      <c r="F359" s="139">
        <v>0</v>
      </c>
      <c r="G359" s="44">
        <f t="shared" si="70"/>
        <v>0</v>
      </c>
      <c r="H359" s="139">
        <v>0</v>
      </c>
      <c r="I359" s="44">
        <f t="shared" si="71"/>
        <v>0</v>
      </c>
      <c r="J359" s="139">
        <v>0</v>
      </c>
      <c r="K359" s="44">
        <f t="shared" si="72"/>
        <v>0</v>
      </c>
      <c r="L359" s="139">
        <v>0</v>
      </c>
      <c r="M359" s="44">
        <f t="shared" si="73"/>
        <v>0</v>
      </c>
      <c r="N359" s="139">
        <v>0</v>
      </c>
      <c r="O359" s="44">
        <f t="shared" si="74"/>
        <v>0</v>
      </c>
      <c r="P359" s="139">
        <v>0</v>
      </c>
      <c r="Q359" s="44">
        <f t="shared" si="75"/>
        <v>0</v>
      </c>
      <c r="R359" s="139">
        <v>0</v>
      </c>
      <c r="S359" s="44" t="e">
        <f t="shared" si="76"/>
        <v>#DIV/0!</v>
      </c>
      <c r="T359" s="139">
        <v>0</v>
      </c>
      <c r="U359" s="139">
        <v>0</v>
      </c>
      <c r="V359" s="139">
        <v>0</v>
      </c>
      <c r="W359" s="139">
        <v>0</v>
      </c>
    </row>
    <row r="360" spans="1:23" s="10" customFormat="1" ht="15" customHeight="1" hidden="1">
      <c r="A360" s="21"/>
      <c r="B360" s="54"/>
      <c r="C360" s="21"/>
      <c r="D360" s="139">
        <v>0</v>
      </c>
      <c r="E360" s="139">
        <v>0</v>
      </c>
      <c r="F360" s="139">
        <v>0</v>
      </c>
      <c r="G360" s="44">
        <f t="shared" si="70"/>
        <v>0</v>
      </c>
      <c r="H360" s="139">
        <v>0</v>
      </c>
      <c r="I360" s="44">
        <f t="shared" si="71"/>
        <v>0</v>
      </c>
      <c r="J360" s="139">
        <v>0</v>
      </c>
      <c r="K360" s="44">
        <f t="shared" si="72"/>
        <v>0</v>
      </c>
      <c r="L360" s="139">
        <v>0</v>
      </c>
      <c r="M360" s="44">
        <f t="shared" si="73"/>
        <v>0</v>
      </c>
      <c r="N360" s="139">
        <v>0</v>
      </c>
      <c r="O360" s="44">
        <f t="shared" si="74"/>
        <v>0</v>
      </c>
      <c r="P360" s="139">
        <v>0</v>
      </c>
      <c r="Q360" s="44">
        <f t="shared" si="75"/>
        <v>0</v>
      </c>
      <c r="R360" s="139">
        <v>0</v>
      </c>
      <c r="S360" s="44" t="e">
        <f t="shared" si="76"/>
        <v>#DIV/0!</v>
      </c>
      <c r="T360" s="139">
        <v>0</v>
      </c>
      <c r="U360" s="139">
        <v>0</v>
      </c>
      <c r="V360" s="139">
        <v>0</v>
      </c>
      <c r="W360" s="139">
        <v>0</v>
      </c>
    </row>
    <row r="361" spans="1:23" s="10" customFormat="1" ht="15" customHeight="1" hidden="1">
      <c r="A361" s="21"/>
      <c r="B361" s="54"/>
      <c r="C361" s="21"/>
      <c r="D361" s="139">
        <v>0</v>
      </c>
      <c r="E361" s="139">
        <v>0</v>
      </c>
      <c r="F361" s="139">
        <v>0</v>
      </c>
      <c r="G361" s="44">
        <f t="shared" si="70"/>
        <v>0</v>
      </c>
      <c r="H361" s="139">
        <v>0</v>
      </c>
      <c r="I361" s="44">
        <f t="shared" si="71"/>
        <v>0</v>
      </c>
      <c r="J361" s="139">
        <v>0</v>
      </c>
      <c r="K361" s="44">
        <f t="shared" si="72"/>
        <v>0</v>
      </c>
      <c r="L361" s="139">
        <v>0</v>
      </c>
      <c r="M361" s="44">
        <f t="shared" si="73"/>
        <v>0</v>
      </c>
      <c r="N361" s="139">
        <v>0</v>
      </c>
      <c r="O361" s="44">
        <f t="shared" si="74"/>
        <v>0</v>
      </c>
      <c r="P361" s="139">
        <v>0</v>
      </c>
      <c r="Q361" s="44">
        <f t="shared" si="75"/>
        <v>0</v>
      </c>
      <c r="R361" s="139">
        <v>0</v>
      </c>
      <c r="S361" s="44" t="e">
        <f t="shared" si="76"/>
        <v>#DIV/0!</v>
      </c>
      <c r="T361" s="139">
        <v>0</v>
      </c>
      <c r="U361" s="139">
        <v>0</v>
      </c>
      <c r="V361" s="139">
        <v>0</v>
      </c>
      <c r="W361" s="139">
        <v>0</v>
      </c>
    </row>
    <row r="362" spans="1:23" s="10" customFormat="1" ht="15" customHeight="1" hidden="1">
      <c r="A362" s="21"/>
      <c r="B362" s="54"/>
      <c r="C362" s="21"/>
      <c r="D362" s="139">
        <v>0</v>
      </c>
      <c r="E362" s="139">
        <v>0</v>
      </c>
      <c r="F362" s="139">
        <v>0</v>
      </c>
      <c r="G362" s="44">
        <f t="shared" si="70"/>
        <v>0</v>
      </c>
      <c r="H362" s="139">
        <v>0</v>
      </c>
      <c r="I362" s="44">
        <f t="shared" si="71"/>
        <v>0</v>
      </c>
      <c r="J362" s="139">
        <v>0</v>
      </c>
      <c r="K362" s="44">
        <f t="shared" si="72"/>
        <v>0</v>
      </c>
      <c r="L362" s="139">
        <v>0</v>
      </c>
      <c r="M362" s="44">
        <f t="shared" si="73"/>
        <v>0</v>
      </c>
      <c r="N362" s="139">
        <v>0</v>
      </c>
      <c r="O362" s="44">
        <f t="shared" si="74"/>
        <v>0</v>
      </c>
      <c r="P362" s="139">
        <v>0</v>
      </c>
      <c r="Q362" s="44">
        <f t="shared" si="75"/>
        <v>0</v>
      </c>
      <c r="R362" s="139">
        <v>0</v>
      </c>
      <c r="S362" s="44" t="e">
        <f t="shared" si="76"/>
        <v>#DIV/0!</v>
      </c>
      <c r="T362" s="139">
        <v>0</v>
      </c>
      <c r="U362" s="139">
        <v>0</v>
      </c>
      <c r="V362" s="139">
        <v>0</v>
      </c>
      <c r="W362" s="139">
        <v>0</v>
      </c>
    </row>
    <row r="363" spans="1:23" s="10" customFormat="1" ht="15" customHeight="1" thickBot="1">
      <c r="A363" s="64"/>
      <c r="B363" s="64"/>
      <c r="C363" s="74"/>
      <c r="D363" s="199"/>
      <c r="E363" s="199"/>
      <c r="F363" s="199"/>
      <c r="G363" s="199"/>
      <c r="H363" s="199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</row>
    <row r="364" spans="1:23" s="10" customFormat="1" ht="18.75" customHeight="1" thickBot="1" thickTop="1">
      <c r="A364" s="59"/>
      <c r="B364" s="73"/>
      <c r="C364" s="72" t="s">
        <v>215</v>
      </c>
      <c r="D364" s="200">
        <f aca="true" t="shared" si="77" ref="D364:P364">SUM(D352:D362)</f>
        <v>0</v>
      </c>
      <c r="E364" s="200">
        <f t="shared" si="77"/>
        <v>9610</v>
      </c>
      <c r="F364" s="200">
        <f t="shared" si="77"/>
        <v>0</v>
      </c>
      <c r="G364" s="200">
        <f t="shared" si="77"/>
        <v>0</v>
      </c>
      <c r="H364" s="200">
        <f t="shared" si="77"/>
        <v>0</v>
      </c>
      <c r="I364" s="200">
        <f t="shared" si="77"/>
        <v>0</v>
      </c>
      <c r="J364" s="200">
        <f t="shared" si="77"/>
        <v>0</v>
      </c>
      <c r="K364" s="200">
        <f t="shared" si="77"/>
        <v>0</v>
      </c>
      <c r="L364" s="200">
        <f t="shared" si="77"/>
        <v>0</v>
      </c>
      <c r="M364" s="200">
        <f t="shared" si="77"/>
        <v>0</v>
      </c>
      <c r="N364" s="200">
        <f t="shared" si="77"/>
        <v>0</v>
      </c>
      <c r="O364" s="200">
        <f t="shared" si="77"/>
        <v>0</v>
      </c>
      <c r="P364" s="200">
        <f t="shared" si="77"/>
        <v>0</v>
      </c>
      <c r="Q364" s="200">
        <f>SUM(Q352:Q362)</f>
        <v>1088.7</v>
      </c>
      <c r="R364" s="200">
        <f>SUM(R352:R362)</f>
        <v>1088.7</v>
      </c>
      <c r="S364" s="138">
        <f>(R364/E364)*100</f>
        <v>11.328824141519252</v>
      </c>
      <c r="T364" s="200">
        <f>SUM(T352:T362)</f>
        <v>9610</v>
      </c>
      <c r="U364" s="200">
        <f>SUM(U352:U362)</f>
        <v>13845</v>
      </c>
      <c r="V364" s="200">
        <f>SUM(V352:V362)</f>
        <v>13600</v>
      </c>
      <c r="W364" s="200">
        <f>SUM(W352:W362)</f>
        <v>13600</v>
      </c>
    </row>
    <row r="365" spans="1:23" s="10" customFormat="1" ht="15.75" customHeight="1">
      <c r="A365" s="29"/>
      <c r="B365" s="30"/>
      <c r="C365" s="31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1:23" s="10" customFormat="1" ht="15.75" customHeight="1" hidden="1">
      <c r="A366" s="29"/>
      <c r="B366" s="30"/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23" s="10" customFormat="1" ht="15.75" customHeight="1" hidden="1">
      <c r="A367" s="29"/>
      <c r="B367" s="30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1:23" s="10" customFormat="1" ht="15.75" customHeight="1">
      <c r="A368" s="29"/>
      <c r="B368" s="30"/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4:23" s="10" customFormat="1" ht="15.75" customHeight="1" thickBot="1"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5"/>
      <c r="O369" s="185"/>
      <c r="P369" s="185"/>
      <c r="Q369" s="185"/>
      <c r="R369" s="185"/>
      <c r="S369" s="185"/>
      <c r="T369" s="185"/>
      <c r="U369" s="185"/>
      <c r="V369" s="185"/>
      <c r="W369" s="185"/>
    </row>
    <row r="370" spans="1:23" s="10" customFormat="1" ht="18">
      <c r="A370" s="148" t="s">
        <v>2</v>
      </c>
      <c r="B370" s="150" t="s">
        <v>3</v>
      </c>
      <c r="C370" s="211" t="s">
        <v>485</v>
      </c>
      <c r="D370" s="162" t="s">
        <v>489</v>
      </c>
      <c r="E370" s="162" t="s">
        <v>490</v>
      </c>
      <c r="F370" s="186" t="s">
        <v>6</v>
      </c>
      <c r="G370" s="186" t="s">
        <v>6</v>
      </c>
      <c r="H370" s="186" t="s">
        <v>6</v>
      </c>
      <c r="I370" s="186" t="s">
        <v>6</v>
      </c>
      <c r="J370" s="186" t="s">
        <v>6</v>
      </c>
      <c r="K370" s="186" t="s">
        <v>6</v>
      </c>
      <c r="L370" s="186" t="s">
        <v>6</v>
      </c>
      <c r="M370" s="186" t="s">
        <v>6</v>
      </c>
      <c r="N370" s="186" t="s">
        <v>6</v>
      </c>
      <c r="O370" s="186" t="s">
        <v>6</v>
      </c>
      <c r="P370" s="186" t="s">
        <v>6</v>
      </c>
      <c r="Q370" s="186" t="s">
        <v>6</v>
      </c>
      <c r="R370" s="186" t="s">
        <v>6</v>
      </c>
      <c r="S370" s="186" t="s">
        <v>7</v>
      </c>
      <c r="T370" s="186" t="s">
        <v>458</v>
      </c>
      <c r="U370" s="186" t="s">
        <v>5</v>
      </c>
      <c r="V370" s="186" t="s">
        <v>5</v>
      </c>
      <c r="W370" s="186" t="s">
        <v>5</v>
      </c>
    </row>
    <row r="371" spans="1:23" s="10" customFormat="1" ht="15.75" customHeight="1" thickBot="1">
      <c r="A371" s="151"/>
      <c r="B371" s="152"/>
      <c r="C371" s="153"/>
      <c r="D371" s="166">
        <v>2010</v>
      </c>
      <c r="E371" s="166">
        <v>2010</v>
      </c>
      <c r="F371" s="187" t="s">
        <v>10</v>
      </c>
      <c r="G371" s="187" t="s">
        <v>11</v>
      </c>
      <c r="H371" s="187" t="s">
        <v>12</v>
      </c>
      <c r="I371" s="187" t="s">
        <v>13</v>
      </c>
      <c r="J371" s="187" t="s">
        <v>14</v>
      </c>
      <c r="K371" s="187" t="s">
        <v>15</v>
      </c>
      <c r="L371" s="187" t="s">
        <v>16</v>
      </c>
      <c r="M371" s="187" t="s">
        <v>17</v>
      </c>
      <c r="N371" s="187" t="s">
        <v>18</v>
      </c>
      <c r="O371" s="187" t="s">
        <v>19</v>
      </c>
      <c r="P371" s="187" t="s">
        <v>20</v>
      </c>
      <c r="Q371" s="187" t="s">
        <v>21</v>
      </c>
      <c r="R371" s="187" t="s">
        <v>22</v>
      </c>
      <c r="S371" s="187" t="s">
        <v>23</v>
      </c>
      <c r="T371" s="187" t="s">
        <v>460</v>
      </c>
      <c r="U371" s="187" t="s">
        <v>461</v>
      </c>
      <c r="V371" s="187" t="s">
        <v>462</v>
      </c>
      <c r="W371" s="187" t="s">
        <v>459</v>
      </c>
    </row>
    <row r="372" spans="1:23" s="10" customFormat="1" ht="38.25" customHeight="1" thickBot="1" thickTop="1">
      <c r="A372" s="72"/>
      <c r="B372" s="75"/>
      <c r="C372" s="76" t="s">
        <v>216</v>
      </c>
      <c r="D372" s="201">
        <f>SUM(D35,D144,D173,D216,D250,D268,D286,D297,D320,D344,D364)</f>
        <v>638702</v>
      </c>
      <c r="E372" s="201">
        <f>SUM(E35,E144,E173,E216,E250,E268,E286,E297,E320,E344,E364)</f>
        <v>814918.2</v>
      </c>
      <c r="F372" s="201">
        <f aca="true" t="shared" si="78" ref="F372:L372">SUM(F35,F144,F173,F216,F250,F268,F286,F297,F320,F344)</f>
        <v>110596.2</v>
      </c>
      <c r="G372" s="201">
        <f t="shared" si="78"/>
        <v>48498.8</v>
      </c>
      <c r="H372" s="201">
        <f t="shared" si="78"/>
        <v>159095.00000000003</v>
      </c>
      <c r="I372" s="201">
        <f t="shared" si="78"/>
        <v>65350.7</v>
      </c>
      <c r="J372" s="201">
        <f t="shared" si="78"/>
        <v>224445.7</v>
      </c>
      <c r="K372" s="201">
        <f t="shared" si="78"/>
        <v>139310.1</v>
      </c>
      <c r="L372" s="201">
        <f t="shared" si="78"/>
        <v>363755.80000000005</v>
      </c>
      <c r="M372" s="201">
        <f>SUM(M35,M144,M173,M216,M250,M268,M286,M297,M320,M344)</f>
        <v>54177.3</v>
      </c>
      <c r="N372" s="201">
        <f>SUM(N35,N144,N173,N216,N250,N268,N286,N297,N320,N344)</f>
        <v>417992.9000000001</v>
      </c>
      <c r="O372" s="201">
        <f>SUM(O35,O144,O173,O216,O250,O268,O286,O297,O320,O344)</f>
        <v>66200.00000000001</v>
      </c>
      <c r="P372" s="201">
        <f>SUM(P35,P144,P173,P216,P250,P268,P286,P297,P320,P344)</f>
        <v>484192.9</v>
      </c>
      <c r="Q372" s="201">
        <f>SUM(Q35,Q144,Q173,Q216,Q250,Q268,Q286,Q297,Q320,Q344)</f>
        <v>65914.50000000001</v>
      </c>
      <c r="R372" s="201">
        <f>SUM(R35,R144,R173,R216,R250,R268,R286,R297,R320,R344,R364)</f>
        <v>551200.1</v>
      </c>
      <c r="S372" s="202">
        <f>(R372/E372)*100</f>
        <v>67.63870287839933</v>
      </c>
      <c r="T372" s="201">
        <f>SUM(T35,T144,T173,T216,T250,T268,T286,T297,T320,T344,T364)</f>
        <v>800806.86</v>
      </c>
      <c r="U372" s="201">
        <f>SUM(U35,U144,U173,U216,U250,U268,U286,U297,U320,U344,U364)</f>
        <v>544183.237</v>
      </c>
      <c r="V372" s="201">
        <f>SUM(V35,V144,V173,V216,V250,V268,V286,V297,V320,V344,V364)</f>
        <v>493207</v>
      </c>
      <c r="W372" s="201">
        <f>SUM(W35,W144,W173,W216,W250,W268,W286,W297,W320,W344,W364)</f>
        <v>501369</v>
      </c>
    </row>
    <row r="373" spans="1:23" ht="1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</row>
    <row r="374" spans="1:23" ht="15" customHeight="1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</row>
    <row r="375" spans="1:23" ht="15" customHeight="1" hidden="1">
      <c r="A375" s="77"/>
      <c r="B375" s="77"/>
      <c r="C375" s="77" t="s">
        <v>217</v>
      </c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  <row r="376" spans="1:23" ht="15" customHeight="1" hidden="1">
      <c r="A376" s="77"/>
      <c r="B376" s="77"/>
      <c r="C376" s="77"/>
      <c r="D376" s="79">
        <f aca="true" t="shared" si="79" ref="D376:S376">SUM(D58,D59,D140,D340,D341)</f>
        <v>87500</v>
      </c>
      <c r="E376" s="79">
        <f t="shared" si="79"/>
        <v>177601</v>
      </c>
      <c r="F376" s="79">
        <f t="shared" si="79"/>
        <v>21686.700000000004</v>
      </c>
      <c r="G376" s="79">
        <f t="shared" si="79"/>
        <v>8953.300000000003</v>
      </c>
      <c r="H376" s="79">
        <f t="shared" si="79"/>
        <v>30640.000000000004</v>
      </c>
      <c r="I376" s="79">
        <f t="shared" si="79"/>
        <v>14842.600000000004</v>
      </c>
      <c r="J376" s="79">
        <f t="shared" si="79"/>
        <v>45482.6</v>
      </c>
      <c r="K376" s="79">
        <f t="shared" si="79"/>
        <v>17495.700000000004</v>
      </c>
      <c r="L376" s="79">
        <f t="shared" si="79"/>
        <v>62978.3</v>
      </c>
      <c r="M376" s="79">
        <f t="shared" si="79"/>
        <v>9427.099999999999</v>
      </c>
      <c r="N376" s="79">
        <f t="shared" si="79"/>
        <v>72405.4</v>
      </c>
      <c r="O376" s="79">
        <f t="shared" si="79"/>
        <v>16576</v>
      </c>
      <c r="P376" s="79">
        <f t="shared" si="79"/>
        <v>88981.4</v>
      </c>
      <c r="Q376" s="79">
        <f t="shared" si="79"/>
        <v>21442.399999999998</v>
      </c>
      <c r="R376" s="79">
        <f t="shared" si="79"/>
        <v>110427.8</v>
      </c>
      <c r="S376" s="79" t="e">
        <f t="shared" si="79"/>
        <v>#DIV/0!</v>
      </c>
      <c r="T376" s="79">
        <f>SUM(T58,T59,T140,T340,T341)</f>
        <v>160574.66</v>
      </c>
      <c r="U376" s="79">
        <f>SUM(U58,U59,U140,U340,U341)</f>
        <v>62982.3</v>
      </c>
      <c r="V376" s="79">
        <f>SUM(V58,V59,V140,V340,V341)</f>
        <v>3100</v>
      </c>
      <c r="W376" s="79">
        <f>SUM(W58,W59,W140,W340,W341)</f>
        <v>3100</v>
      </c>
    </row>
    <row r="377" spans="1:23" ht="15" customHeight="1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</row>
    <row r="378" spans="1:23" ht="15" customHeight="1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</row>
    <row r="379" spans="1:23" ht="1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</row>
    <row r="380" spans="1:23" ht="1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</row>
    <row r="381" spans="1:23" ht="1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</row>
    <row r="382" spans="1:23" ht="1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</row>
    <row r="383" spans="1:23" ht="1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</row>
    <row r="384" spans="1:23" ht="1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</row>
    <row r="385" spans="1:23" ht="1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</row>
    <row r="386" spans="1:23" ht="1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</row>
    <row r="387" spans="1:23" ht="1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</row>
    <row r="388" spans="1:23" ht="1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</row>
    <row r="389" spans="1:23" ht="1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</row>
    <row r="390" spans="1:23" ht="1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</row>
    <row r="391" spans="1:23" ht="1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</row>
    <row r="392" spans="1:23" ht="1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</row>
    <row r="393" spans="1:23" ht="1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</row>
    <row r="394" spans="1:23" ht="1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</row>
    <row r="395" spans="1:23" ht="1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</row>
  </sheetData>
  <sheetProtection/>
  <printOptions/>
  <pageMargins left="0.7874015748031497" right="0.2362204724409449" top="0.2755905511811024" bottom="0.4724409448818898" header="0.31496062992125984" footer="0.3543307086614173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2010-12-13T12:50:24Z</cp:lastPrinted>
  <dcterms:created xsi:type="dcterms:W3CDTF">2010-09-16T15:20:44Z</dcterms:created>
  <dcterms:modified xsi:type="dcterms:W3CDTF">2010-12-13T12:50:26Z</dcterms:modified>
  <cp:category/>
  <cp:version/>
  <cp:contentType/>
  <cp:contentStatus/>
</cp:coreProperties>
</file>