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Doplň. ukaz. 6_2013" sheetId="1" r:id="rId1"/>
    <sheet name="Město_příjmy" sheetId="2" r:id="rId2"/>
    <sheet name="Město_výdaje " sheetId="3" r:id="rId3"/>
    <sheet name="Vybrané výdaje" sheetId="4" r:id="rId4"/>
    <sheet name="Cashflow I" sheetId="5" r:id="rId5"/>
    <sheet name="Cashflow II" sheetId="6" r:id="rId6"/>
    <sheet name="Cashflow III" sheetId="7" r:id="rId7"/>
  </sheets>
  <definedNames/>
  <calcPr fullCalcOnLoad="1"/>
</workbook>
</file>

<file path=xl/sharedStrings.xml><?xml version="1.0" encoding="utf-8"?>
<sst xmlns="http://schemas.openxmlformats.org/spreadsheetml/2006/main" count="1189" uniqueCount="678">
  <si>
    <t>Kraj: Jihomoravský</t>
  </si>
  <si>
    <t>Okres: Břeclav</t>
  </si>
  <si>
    <t>Město: Břeclav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</si>
  <si>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</si>
  <si>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</si>
  <si>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</si>
  <si>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</si>
  <si>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</si>
  <si>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</si>
  <si>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</si>
  <si>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</si>
  <si>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</si>
  <si>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</si>
  <si>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</si>
  <si>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</si>
  <si>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</si>
  <si>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</si>
  <si>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</si>
  <si>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</si>
  <si>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</si>
  <si>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</si>
  <si>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</si>
  <si>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</si>
  <si>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</si>
  <si>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</si>
  <si>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</si>
  <si>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</si>
  <si>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</si>
  <si>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</si>
  <si>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</si>
  <si>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</si>
  <si>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</si>
  <si>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</si>
  <si>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1-6/2013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</si>
  <si>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</si>
  <si>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</si>
  <si>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</si>
  <si>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</si>
  <si>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</si>
  <si>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</si>
  <si>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</si>
  <si>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 </t>
  </si>
  <si>
    <t>Neinvestič. přij. transfery od krajů - Memoriál Ivana Hlinky CUP 2013</t>
  </si>
  <si>
    <t>Neinvestič. přij. transfery od krajů -Dotace EVVO-MŠ Břeclav, Hřbitovní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</si>
  <si>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</si>
  <si>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</si>
  <si>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</si>
  <si>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</si>
  <si>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</si>
  <si>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</si>
  <si>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</si>
  <si>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</si>
  <si>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</si>
  <si>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</si>
  <si>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</si>
  <si>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</si>
  <si>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</si>
  <si>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</si>
  <si>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</si>
  <si>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</si>
  <si>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</si>
  <si>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</si>
  <si>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</si>
  <si>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</si>
  <si>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</si>
  <si>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</si>
  <si>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</si>
  <si>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</si>
  <si>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</si>
  <si>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</si>
  <si>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</si>
  <si>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</si>
  <si>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</si>
  <si>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</si>
  <si>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</si>
  <si>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</si>
  <si>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</si>
  <si>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</si>
  <si>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</si>
  <si>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</si>
  <si>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</si>
  <si>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</si>
  <si>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</si>
  <si>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</si>
  <si>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</si>
  <si>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</si>
  <si>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</si>
  <si>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</si>
  <si>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Neinvestiční přijaté transfery z státních fondů-třídění odpadů-kompostéry</t>
  </si>
  <si>
    <t>Ost. neinv. přij. transfery ze SR - prevence kriminality</t>
  </si>
  <si>
    <t>Ostat. neinv. přij. transfery ze SR a ESF - aktiv. politika zaměst.</t>
  </si>
  <si>
    <t>Ost. neinv. přij. transfery ze SR - MŽP třídění  bioodpadu-kompestéry</t>
  </si>
  <si>
    <t>Neinv. přij. transf. od krajů -Zdravé municipality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</si>
  <si>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</si>
  <si>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</si>
  <si>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</si>
  <si>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Břeclav bez bariér-I. etapa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</si>
  <si>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</si>
  <si>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</si>
  <si>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</si>
  <si>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</si>
  <si>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</si>
  <si>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</si>
  <si>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</si>
  <si>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</si>
  <si>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</si>
  <si>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</si>
  <si>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</si>
  <si>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 xml:space="preserve">Investič. přij. transf. od krajů - </t>
  </si>
  <si>
    <t>Investič. přij. transf. od regionál. rad - Přestupní terminál IDS</t>
  </si>
  <si>
    <t>Přijaté pojistné náhrady - silnice</t>
  </si>
  <si>
    <t>Investič. přij. transf. od regionál. rad - Cyklostezka Cukrovar-Poštorná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</si>
  <si>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</si>
  <si>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</si>
  <si>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</si>
  <si>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</si>
  <si>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nekapitál. přísp. a náhrady - veřejné osvětlení</t>
  </si>
  <si>
    <t>Přijaté příspěvky na poříz. dlouhodobého majetku - územní plánování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</si>
  <si>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</si>
  <si>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</si>
  <si>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</si>
  <si>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</si>
  <si>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</si>
  <si>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</si>
  <si>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</si>
  <si>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</si>
  <si>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</si>
  <si>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</si>
  <si>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 - 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</si>
  <si>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</si>
  <si>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</si>
  <si>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</si>
  <si>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</si>
  <si>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</si>
  <si>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</si>
  <si>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</si>
  <si>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</si>
  <si>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</si>
  <si>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</si>
  <si>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</si>
  <si>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</si>
  <si>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</si>
  <si>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</si>
  <si>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</si>
  <si>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</si>
  <si>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</si>
  <si>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</si>
  <si>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</si>
  <si>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</si>
  <si>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</si>
  <si>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</si>
  <si>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</si>
  <si>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 (DS Břeclav)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</si>
  <si>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</si>
  <si>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</si>
  <si>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</si>
  <si>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</si>
  <si>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</si>
  <si>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</si>
  <si>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</si>
  <si>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</si>
  <si>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</si>
  <si>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</si>
  <si>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</si>
  <si>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</si>
  <si>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</si>
  <si>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</si>
  <si>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</si>
  <si>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</si>
  <si>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</si>
  <si>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</si>
  <si>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</si>
  <si>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</si>
  <si>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</si>
  <si>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</si>
  <si>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</si>
  <si>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</si>
  <si>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</si>
  <si>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</si>
  <si>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</si>
  <si>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</si>
  <si>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</si>
  <si>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</si>
  <si>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</si>
  <si>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</si>
  <si>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</si>
  <si>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</si>
  <si>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Sankční platby přijaté od jiných subj. - ostat. správa v prům., obch., stav.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</si>
  <si>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</si>
  <si>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</si>
  <si>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</si>
  <si>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Přijaté nekapitálové příspěvky jinde nezařaz.-vnitřní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</si>
  <si>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</si>
  <si>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</si>
  <si>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</si>
  <si>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</si>
  <si>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</si>
  <si>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</si>
  <si>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</si>
  <si>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</si>
  <si>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</si>
  <si>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</si>
  <si>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</si>
  <si>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</si>
  <si>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</si>
  <si>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</si>
  <si>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</si>
  <si>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</si>
  <si>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</si>
  <si>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</si>
  <si>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</si>
  <si>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</si>
  <si>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</si>
  <si>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</si>
  <si>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</si>
  <si>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</si>
  <si>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</si>
  <si>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</si>
  <si>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</si>
  <si>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</si>
  <si>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</si>
  <si>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</si>
  <si>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>Správní poplatky z VHP</t>
  </si>
  <si>
    <t>Daň z nemovitostí</t>
  </si>
  <si>
    <t>Splátky půjček od obyvatelstva</t>
  </si>
  <si>
    <t xml:space="preserve">Neinv. přijaté dotace ze SR - přísp. na výkon stát. správy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</si>
  <si>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</si>
  <si>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</si>
  <si>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</si>
  <si>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</si>
  <si>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</si>
  <si>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 xml:space="preserve">Ostatní nedaňové příjmy j. n. </t>
  </si>
  <si>
    <t>Neidentifikované příjmy - ostat. činnosti</t>
  </si>
  <si>
    <t>PŘÍJMY ORJ 110 CELKEM</t>
  </si>
  <si>
    <t xml:space="preserve">ODBOR MAJETKOVÝ 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</si>
  <si>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</si>
  <si>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</si>
  <si>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</si>
  <si>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</si>
  <si>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</si>
  <si>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</si>
  <si>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</si>
  <si>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</si>
  <si>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</si>
  <si>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</si>
  <si>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</si>
  <si>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</si>
  <si>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</si>
  <si>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</si>
  <si>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</si>
  <si>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</si>
  <si>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</si>
  <si>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</si>
  <si>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</si>
  <si>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</si>
  <si>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</si>
  <si>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</si>
  <si>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</si>
  <si>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</si>
  <si>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</si>
  <si>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</si>
  <si>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</si>
  <si>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</si>
  <si>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</si>
  <si>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</si>
  <si>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</si>
  <si>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</si>
  <si>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</si>
  <si>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</si>
  <si>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</si>
  <si>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</si>
  <si>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</si>
  <si>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</si>
  <si>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</si>
  <si>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</si>
  <si>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</si>
  <si>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</si>
  <si>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</si>
  <si>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</si>
  <si>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</si>
  <si>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</si>
  <si>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</si>
  <si>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</si>
  <si>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</si>
  <si>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</si>
  <si>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</si>
  <si>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</si>
  <si>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</si>
  <si>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</si>
  <si>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</si>
  <si>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</si>
  <si>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</si>
  <si>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</si>
  <si>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</si>
  <si>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</si>
  <si>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</si>
  <si>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</si>
  <si>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</si>
  <si>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</si>
  <si>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</si>
  <si>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</si>
  <si>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>CELKEM VÝDAJE MĚSTA</t>
  </si>
  <si>
    <t>čerpání</t>
  </si>
  <si>
    <t xml:space="preserve">% </t>
  </si>
  <si>
    <t>VÝDAJE ORJ 120  CELKEM</t>
  </si>
  <si>
    <t>Ostatní nakládání s odpady-výkup pozemku a nájem za skládku</t>
  </si>
  <si>
    <t>Komunální služby a územní rozvoj - výkupy pozemků</t>
  </si>
  <si>
    <t>Komunální služby a územní rozvoj - výkupy budov</t>
  </si>
  <si>
    <t>Komunální služby a územní rozvoj</t>
  </si>
  <si>
    <t>Zásobování teplem - TEPLO (opravy a údržba)</t>
  </si>
  <si>
    <t>Pohřebnictví</t>
  </si>
  <si>
    <t xml:space="preserve">Nebytové hospodářství </t>
  </si>
  <si>
    <t>Bytové hospodářství - "BYT 2000"+náhrady za byt</t>
  </si>
  <si>
    <t>Odvádění a čištění odpadních vod a nakl. s kaly</t>
  </si>
  <si>
    <t>Pitná voda (opravy a udržování,nákup ost. služeb)</t>
  </si>
  <si>
    <t>VÝDAJE ORJ 110  CELKEM</t>
  </si>
  <si>
    <t>Rozpočtová rezerva města</t>
  </si>
  <si>
    <t>Ostatní činnosti jinde nezařazené - ost. neinv. výdaje</t>
  </si>
  <si>
    <t>Výdaje finančního vypořádání-vratky nevyčerp.účel.dotací</t>
  </si>
  <si>
    <t>Finanční operace jinde nezař.(daň z příjmu, daň z převodu nemov., DPH)</t>
  </si>
  <si>
    <t>Příjmy a výdaje z finančních úvěrových operací-úroky</t>
  </si>
  <si>
    <t>Vnitřní správa - poskyt. záloha hlavní pokladně (k poslednímu dni roku =  0)</t>
  </si>
  <si>
    <t>VÝDAJE ORJ 100 CELKEM</t>
  </si>
  <si>
    <t>Stavební úřad</t>
  </si>
  <si>
    <t>VÝDAJE ORJ  90 CELKEM</t>
  </si>
  <si>
    <t xml:space="preserve">Bezpečnost a veřejný pořádek </t>
  </si>
  <si>
    <t>VÝDAJE ORJ 80 CELKEM</t>
  </si>
  <si>
    <t xml:space="preserve">Činnost místní správy - zálohy </t>
  </si>
  <si>
    <t>Provoz vnitrozemské plavby (Břeclav-Pohansko-Janohrad)</t>
  </si>
  <si>
    <t>Provoz veřejné silniční dopravy - MHD, IDS JMK, ztráty žák. jízdného</t>
  </si>
  <si>
    <t>Záležitosti pozem. komunikací j. n. - BESIP</t>
  </si>
  <si>
    <t>VÝDAJE ORJ 60 CELKEM</t>
  </si>
  <si>
    <t>Ostatní neinv. výdaje j. n. - místní správa</t>
  </si>
  <si>
    <t>Krizové řízení na územ. úrovni - povodně - dary obcím</t>
  </si>
  <si>
    <t>Ostatní činnosti k ochraně přírody a krajiny</t>
  </si>
  <si>
    <t>Ostatní ochrana půdy a spodních vod</t>
  </si>
  <si>
    <t>Úpravy vodohosp. význam. a vodárenských toků - protipovodňová opatření</t>
  </si>
  <si>
    <t>Rybářství - výdaje spojené s myslivostí - hodnocení trofejí</t>
  </si>
  <si>
    <t>Ostatní záležitosti lesního hospodářství</t>
  </si>
  <si>
    <t>Celospolečenská funkce lesů - výsadba melioračních dřevin</t>
  </si>
  <si>
    <t>Správa v les. hosp.- činnost odbor. les.hospodáře</t>
  </si>
  <si>
    <t xml:space="preserve">Pěstební činnost </t>
  </si>
  <si>
    <t>Ozdravování hosp. zvířat a spec. plodin (útulek, čipování psů)</t>
  </si>
  <si>
    <t>VÝDAJE ORJ  50 CELKEM</t>
  </si>
  <si>
    <t>Ostatní činnosti jinde nezařazené - ostat. neivestiční výdaje</t>
  </si>
  <si>
    <t>Finanční vypořádání min. let - vratky poskytnutých transferů</t>
  </si>
  <si>
    <t>Komunit. plán. v oblasti soc.služeb, lék. vyšetř., znal. pos., tlumočníci</t>
  </si>
  <si>
    <t xml:space="preserve">Zvláštní zařízení soc. péče - azylový dům </t>
  </si>
  <si>
    <t>Raná péče a soc. aktivizační sl. pro rodiny s dětmi</t>
  </si>
  <si>
    <t>Remedia Plus - Respitní péče</t>
  </si>
  <si>
    <t>Remedia Plus - Domov se zvláštním režimem</t>
  </si>
  <si>
    <t>Domov seniorů Břeclav (příspěvek 8 200 + 4 000 přech. výpomoc)</t>
  </si>
  <si>
    <t>Denní stacionáře a centra denních služeb</t>
  </si>
  <si>
    <t xml:space="preserve">Osob. asistence., pečovatelská služba a podpora samostat. bydlení </t>
  </si>
  <si>
    <t>Soc. péče a pomoc ost. skupinám</t>
  </si>
  <si>
    <t>Soc. pomoc osobám v souv. s živel. pohromou nebo pož.</t>
  </si>
  <si>
    <t>Sociální péče a pomoc vybraným etnikům</t>
  </si>
  <si>
    <t>Sociální pomoc osobám v hmotné nouzi</t>
  </si>
  <si>
    <t>Penziony pro matky s dětmi</t>
  </si>
  <si>
    <t>Ostatní soc.péče a pomoc dětem a mládeže</t>
  </si>
  <si>
    <t>Dávky a odškodnění válečným veteránům a perzek. osobám</t>
  </si>
  <si>
    <t>Ostatní činnost ve zdravotnictví</t>
  </si>
  <si>
    <t xml:space="preserve">Prevence před drogami              </t>
  </si>
  <si>
    <t>VÝDAJE ORJ 30 + 31  CELKEM</t>
  </si>
  <si>
    <t>Činnosti místní správy</t>
  </si>
  <si>
    <t>30+31</t>
  </si>
  <si>
    <t>Sčítání domů, bytů a lidu</t>
  </si>
  <si>
    <t>Volba prezidenta republiky</t>
  </si>
  <si>
    <t>Volby do zastupitelstev obcí</t>
  </si>
  <si>
    <t>Volby do Parlamentu ČR</t>
  </si>
  <si>
    <t>Místní zastupitelské orgány</t>
  </si>
  <si>
    <t xml:space="preserve">Požární ochrana </t>
  </si>
  <si>
    <t>Záležitosti krizového řízení jinde nezařazené</t>
  </si>
  <si>
    <t>Ochrana obyvatelstva - rezerva</t>
  </si>
  <si>
    <t xml:space="preserve">Záležitosti sdělovacích prostředků  </t>
  </si>
  <si>
    <t>Místní rozhlas</t>
  </si>
  <si>
    <t>VÝDAJE ORJ 20 CELKEM</t>
  </si>
  <si>
    <t xml:space="preserve">          z toho dotace se SR</t>
  </si>
  <si>
    <t>Investice celkem</t>
  </si>
  <si>
    <t>Vnitřní správa - MěÚ rek. sociálního zařízení</t>
  </si>
  <si>
    <t>Azylový dům</t>
  </si>
  <si>
    <t>Domov seniorů  Břeclav - bezbariérový vstup</t>
  </si>
  <si>
    <t>Domov seniorů  Břeclav - osazení termostatických ventilů</t>
  </si>
  <si>
    <t>Prev. kriminality-Bezpeč. Břeclav-Měst. kamer. dohlíž. systém-přístroje,zař.</t>
  </si>
  <si>
    <t>Prev. kriminality-Bezpeč. Břeclav-Měst. kamer. dohlížecí systém</t>
  </si>
  <si>
    <t>Prevence kriminality - Zabezpečení sociál. vyloučené lokality</t>
  </si>
  <si>
    <t>Využívání a zneškodňování ost. odpadů-Třídění bioodpadu-kompostéry I.et.</t>
  </si>
  <si>
    <t>IOP-územní plán</t>
  </si>
  <si>
    <t>Smuteční obřadní síně-projektová dokumentace</t>
  </si>
  <si>
    <t>Skatepark Na Valtické</t>
  </si>
  <si>
    <t xml:space="preserve">Kino Koruna - vzduchotechnika </t>
  </si>
  <si>
    <t>ZŠ J. Noháče - zateplení, vým. otvor. výplní</t>
  </si>
  <si>
    <t>ZŠ Kupkova - zateplení</t>
  </si>
  <si>
    <t>MŠ Okružní-stav.úpravy, zateplení</t>
  </si>
  <si>
    <t>MŠ Osvobození-zateplení, otvor. výplně</t>
  </si>
  <si>
    <t>MŠ Na Valtické - zateplení</t>
  </si>
  <si>
    <t>MŠ Kpt. Nálepky - zateplení</t>
  </si>
  <si>
    <t>Zpracování digitálního protipovodňového plánu-program. vybavení</t>
  </si>
  <si>
    <t>IDS-okružní křižovatka + roč. nájem za pozemky ČD</t>
  </si>
  <si>
    <t>Integr. přestupní terminál IDS JMK-studie</t>
  </si>
  <si>
    <t>IPRM Valtická-kamerový systém</t>
  </si>
  <si>
    <t>Regenerace panel. sídl. Slovácká II. etapa</t>
  </si>
  <si>
    <t>Bezpečný přechod</t>
  </si>
  <si>
    <t>Břeclav bez bariér II. etapa</t>
  </si>
  <si>
    <t>Mánesova - chodník pravá strana</t>
  </si>
  <si>
    <t>Úpr. předprostor Kina Koruna</t>
  </si>
  <si>
    <t>Cyklostezka Na Zahradách-Bratislavská</t>
  </si>
  <si>
    <t>Mánesova - chodník levá strana</t>
  </si>
  <si>
    <t xml:space="preserve">Břeclav bez bariér </t>
  </si>
  <si>
    <t>Slovácká-regenerace veřejných prostranství</t>
  </si>
  <si>
    <t>Parkoviště Budovatelská</t>
  </si>
  <si>
    <t>Cyklostezka Cukrovar-Poštorná</t>
  </si>
  <si>
    <t>Hájky-Habrova seč-přístupová komunikace</t>
  </si>
  <si>
    <t>Nákup zametacího stroje</t>
  </si>
  <si>
    <t>Pisníky-vozovka a chodníky</t>
  </si>
  <si>
    <t>Kupkova-komunikace a chod. s odvodněním</t>
  </si>
  <si>
    <t>Mezisoučet</t>
  </si>
  <si>
    <t>Činnost muzeí a galerií - bude převod na 010 OŠKMS</t>
  </si>
  <si>
    <t>Projektová a manažerská příprava na vybrané investiční akce</t>
  </si>
  <si>
    <t>Vnitřní správa</t>
  </si>
  <si>
    <t xml:space="preserve">Mezinárodní spolupráce </t>
  </si>
  <si>
    <t>Ochrana obyvatelstva</t>
  </si>
  <si>
    <t>Domovy seniorů</t>
  </si>
  <si>
    <t xml:space="preserve">Prevence kriminality </t>
  </si>
  <si>
    <t>Péče o vzhled obcí a veřejnou zeleň</t>
  </si>
  <si>
    <t>Monitoring půdy a podzemní vody</t>
  </si>
  <si>
    <t>Využívání a zneškodňování ostatních odpadů</t>
  </si>
  <si>
    <t>Sběr a svoz komunálních odpadů</t>
  </si>
  <si>
    <t>Ost. zálež.  bydlení, kom. služeb a územ. rozvoje</t>
  </si>
  <si>
    <t>Komunální služby a územní rozvoj j. n.</t>
  </si>
  <si>
    <t>Územní plánování</t>
  </si>
  <si>
    <t>Veřejné osvětlení</t>
  </si>
  <si>
    <t>Nebytové hospodářství</t>
  </si>
  <si>
    <t>Bytové hospodářství</t>
  </si>
  <si>
    <t>Využití volného času dětí a mládeže - hřiště</t>
  </si>
  <si>
    <t>Sportovní zařízení v majetku obce</t>
  </si>
  <si>
    <t>Zájmová činnost v kultuře</t>
  </si>
  <si>
    <t>Zachování a obnova kulturních památek nár. histor. povědomí</t>
  </si>
  <si>
    <t xml:space="preserve">Zachování a obnova kulturních památek </t>
  </si>
  <si>
    <t>Kina</t>
  </si>
  <si>
    <t>Základní umělecké školy</t>
  </si>
  <si>
    <t>Základní školy</t>
  </si>
  <si>
    <t xml:space="preserve">Předškolní zařízení </t>
  </si>
  <si>
    <t>Úpravy vodohosp. významných a vodárenských toků</t>
  </si>
  <si>
    <t>Odvádění a čištění odpadních vod   (havárie)</t>
  </si>
  <si>
    <t>Pitná voda</t>
  </si>
  <si>
    <t>Železniční dráhy</t>
  </si>
  <si>
    <t>Ostatní záležitosti v silniční dopravě</t>
  </si>
  <si>
    <t>Provoz veřejné silniční dopravy</t>
  </si>
  <si>
    <t>Ostatní záležitosti pozemních komunikací</t>
  </si>
  <si>
    <t>Silnice</t>
  </si>
  <si>
    <t xml:space="preserve">ODBOR ROZVOJE A SPRÁVY             </t>
  </si>
  <si>
    <t>VÝDAJE ORJ 10  CELKEM</t>
  </si>
  <si>
    <t>Rezerva ORJ 10</t>
  </si>
  <si>
    <t>Mezinárodní spolupráce (jinde nezařazená)</t>
  </si>
  <si>
    <t xml:space="preserve">Zájmová činnost, klub.zařízení, rekreace, sport  - dospělí </t>
  </si>
  <si>
    <t xml:space="preserve">Využití vol.času dětí a mládeže, DUHOVKA aj.    </t>
  </si>
  <si>
    <t>Podpora sport.oddílů - dotace (HC Dyje, KRASO, IHC, TJ Lokomotiva)</t>
  </si>
  <si>
    <t xml:space="preserve">Sportov.zaříz. v maj. obce - dotace krytý bazén, MSK, zázemí Olympia, </t>
  </si>
  <si>
    <t xml:space="preserve">Sportovní zařízení v majetku obce -TEREZA   příspěvek provozní </t>
  </si>
  <si>
    <t>Záležitosti kultury (Svatováclavské slavnosti, Moravský den, ples aj.)</t>
  </si>
  <si>
    <t>Zájmová činnost v kultuře (kulturní domy)</t>
  </si>
  <si>
    <t xml:space="preserve">Činnost registrovaných církví  </t>
  </si>
  <si>
    <t>Zachování hodnot míst.kult.povědomí</t>
  </si>
  <si>
    <t>Zachování a obnova kult.památek</t>
  </si>
  <si>
    <t>Záležitosti kultury</t>
  </si>
  <si>
    <t xml:space="preserve">Činnosti muzeí a galerií   (Městské muzeum) -běžný provoz +projekty    </t>
  </si>
  <si>
    <t>Činnosti knihovnické              z ÚSC</t>
  </si>
  <si>
    <t xml:space="preserve">Činnosti knihovnické  (Městská knihovna-běžný provoz)            </t>
  </si>
  <si>
    <t>Činnosti knihovnické - dotace ze SR (region.funkce)</t>
  </si>
  <si>
    <t>Filmová tvorba, kina  (KINO) - dotace nájemci, platby energií a služeb</t>
  </si>
  <si>
    <t xml:space="preserve">Základní umělecké školy  (ZUŠ)   </t>
  </si>
  <si>
    <t>Střední odborné školy - půjčka na projekt "Němčina do škol"</t>
  </si>
  <si>
    <t>Speciální ZŠ (stacionář - projekt "Žijeme s Vámi")</t>
  </si>
  <si>
    <t xml:space="preserve">Základní školy                        </t>
  </si>
  <si>
    <t xml:space="preserve">Předškolní zařízení  - mateřské školy              </t>
  </si>
  <si>
    <t xml:space="preserve">Cestovní ruch - Turistické informační centrum (TIC) </t>
  </si>
  <si>
    <t>ODBOR ŠKOLSTVÍ, KULTURY, MLÁDEŽE A SPORTU</t>
  </si>
  <si>
    <t xml:space="preserve">                                       ROZPOČET  VÝDAJŮ  NA  ROK  2013</t>
  </si>
  <si>
    <t xml:space="preserve">Město Břeclav </t>
  </si>
  <si>
    <t xml:space="preserve">                    Tabulka doplňujících ukazatelů za období 6/2013</t>
  </si>
  <si>
    <t>Aktualizace k datu 30.6.2013</t>
  </si>
  <si>
    <t>Z toho</t>
  </si>
  <si>
    <t>r. 2013</t>
  </si>
  <si>
    <t>r. 2014</t>
  </si>
  <si>
    <t>r. 2015</t>
  </si>
  <si>
    <t>Celkem</t>
  </si>
  <si>
    <t>Vlastní podíl</t>
  </si>
  <si>
    <t>Kupkova-komunikace a chodníky s odvodněním</t>
  </si>
  <si>
    <t>Písníky-vozovka a chodníky</t>
  </si>
  <si>
    <t>Hájky-Habrova seč-chodník</t>
  </si>
  <si>
    <t>Břeclav bez bariér I.etapa</t>
  </si>
  <si>
    <t>Úprava předprostoru u Kina Koruna</t>
  </si>
  <si>
    <t>Vnitřní správa - MěÚ vzduchotechnika</t>
  </si>
  <si>
    <t>Vnitřní správa - MěÚ klimatizace</t>
  </si>
  <si>
    <t>Slovensko-český protipovodňový záchranný modul</t>
  </si>
  <si>
    <t>Židovská obřadní síň</t>
  </si>
  <si>
    <t>Poznejme naše města Trnava-Břeclav - zámecká věž</t>
  </si>
  <si>
    <t>Komunikace Fibichova</t>
  </si>
  <si>
    <t>Revitalizace louky podzámčí a Zámecká louka</t>
  </si>
  <si>
    <t>Výsadba dřevin v lokalitě Rytopeky</t>
  </si>
  <si>
    <t>Obnova krajinných struktur lokality Včelínek</t>
  </si>
  <si>
    <t>Revitalizace slepého ramene Dyje v lokalitě Včelínek</t>
  </si>
  <si>
    <t>Přírodní zahrada MŠ Břeclav, U Splavu</t>
  </si>
  <si>
    <t>Dětské dopravní hřiště Břeclav</t>
  </si>
  <si>
    <t>MŠ Dukelských hrdinů, MŠ Slovácká, ZUŠ Břeclav - zateplení</t>
  </si>
  <si>
    <t xml:space="preserve">Chodníky na ul. Zahradní </t>
  </si>
  <si>
    <t xml:space="preserve">Zvýšení kvality řízení, finanční řízení a Good Governance </t>
  </si>
  <si>
    <t>Asistenti prevence kriminality</t>
  </si>
  <si>
    <t>Domovník</t>
  </si>
  <si>
    <t>Údržba cyklostezek</t>
  </si>
  <si>
    <t>Zkvalitnění služeb TIC</t>
  </si>
  <si>
    <t>Břeclavské kulturní léto-folklórní soboty</t>
  </si>
  <si>
    <t>Léto rozhýbe Břeclav</t>
  </si>
  <si>
    <t>Poznej lužní les</t>
  </si>
  <si>
    <t>Obnova památníku Ch.N. Ves</t>
  </si>
  <si>
    <t>Místo k setkání rodin - Budovatelská</t>
  </si>
  <si>
    <t>Memoriál Ivana Hlinky</t>
  </si>
  <si>
    <t>Břeclavské dřevosochání</t>
  </si>
  <si>
    <t>Poznámka:</t>
  </si>
  <si>
    <t>Seznam akcí celkem, tj. akce kofinancované i nekofinancované, již s rozhodnutím o dotaci či ve fázi žádosti o dotaci.</t>
  </si>
  <si>
    <t>Tok peněžní hotovosti Cash Flow včetně projektů (v tis. Kč)</t>
  </si>
  <si>
    <t>stav k 30.6.2013</t>
  </si>
  <si>
    <t>č.ř.</t>
  </si>
  <si>
    <t>Rok</t>
  </si>
  <si>
    <t>A</t>
  </si>
  <si>
    <t>Počáteční stav peněžních prostředků k 1.1.</t>
  </si>
  <si>
    <t>P1</t>
  </si>
  <si>
    <t>Třída 1</t>
  </si>
  <si>
    <t>Daňové příjmy - ř. 4010</t>
  </si>
  <si>
    <t>P2</t>
  </si>
  <si>
    <t>Třída 2</t>
  </si>
  <si>
    <t>Nedaňové příjmy - ř. 4020</t>
  </si>
  <si>
    <t>P3</t>
  </si>
  <si>
    <t>Třída 3</t>
  </si>
  <si>
    <t>Kapitálové příjmy - ř. 4030</t>
  </si>
  <si>
    <t>P4</t>
  </si>
  <si>
    <t>Třída 4</t>
  </si>
  <si>
    <t>Přijaté dotace - ř. 4040</t>
  </si>
  <si>
    <t>Pc</t>
  </si>
  <si>
    <t>P1-P2-P3-P4</t>
  </si>
  <si>
    <t>Přijmy celkem (úřed konsolidací) - ř. 4050</t>
  </si>
  <si>
    <t>Kp</t>
  </si>
  <si>
    <t>Konsolidace celkem - ř. 4060</t>
  </si>
  <si>
    <t>Pk</t>
  </si>
  <si>
    <t>Pc-Kp</t>
  </si>
  <si>
    <t>Příjmy po konsolidaci - ř. 4200</t>
  </si>
  <si>
    <t>P5</t>
  </si>
  <si>
    <t>- úvěry krátkodobé (do 1 roku) - ř. 8113</t>
  </si>
  <si>
    <t>P6</t>
  </si>
  <si>
    <t>- úvěry dlouhodobé - ř. 8123</t>
  </si>
  <si>
    <t>P7</t>
  </si>
  <si>
    <t>- výše uvažované půjčky SFŽP</t>
  </si>
  <si>
    <t>P8</t>
  </si>
  <si>
    <t>příjem z vydání krátkodobých dluhopisů - ř. 8111</t>
  </si>
  <si>
    <t>P9</t>
  </si>
  <si>
    <t>- příjem z vydání dlouhodobých dluhopisů - ř. 8121</t>
  </si>
  <si>
    <t>P10</t>
  </si>
  <si>
    <t>- ostatní</t>
  </si>
  <si>
    <t>Pf</t>
  </si>
  <si>
    <t>P5+P6+P7+P8+P9+P10</t>
  </si>
  <si>
    <t>Přijaté úvěry a komunální obligace</t>
  </si>
  <si>
    <t>P</t>
  </si>
  <si>
    <t>Pk+Pf</t>
  </si>
  <si>
    <t>Konsolidované příjmy celkem</t>
  </si>
  <si>
    <t>V1</t>
  </si>
  <si>
    <t>Třída 5</t>
  </si>
  <si>
    <t>Běžné (neinvestiční) výdaje - ř. 4210</t>
  </si>
  <si>
    <t>V2</t>
  </si>
  <si>
    <t>Třída 6</t>
  </si>
  <si>
    <t>Kapitálové (investiční) výdaje - ř. 4220</t>
  </si>
  <si>
    <t>Vc</t>
  </si>
  <si>
    <t>V1+V2</t>
  </si>
  <si>
    <t>Výdaje celkem (před konsolidací) - ř. 4240</t>
  </si>
  <si>
    <t>Kv</t>
  </si>
  <si>
    <t>Konsolidace celkem - ř. 4250</t>
  </si>
  <si>
    <t>Vk</t>
  </si>
  <si>
    <t>Vc-Kv</t>
  </si>
  <si>
    <t>Výdaje po konsolidaci - ř. 4430</t>
  </si>
  <si>
    <t>V4</t>
  </si>
  <si>
    <t>- splátka jistiny krátkodobých úvěrů - ř. 8114</t>
  </si>
  <si>
    <t>V5</t>
  </si>
  <si>
    <t>- splátka jistiny dlouhodobých úvěrů - ř. 8124</t>
  </si>
  <si>
    <t>V6</t>
  </si>
  <si>
    <t>- splátka jistiny uvažované půjčky SFŽP</t>
  </si>
  <si>
    <t>V7</t>
  </si>
  <si>
    <t>- splátka jistiny krátkodobého dluhopisu - ř. 8112</t>
  </si>
  <si>
    <t>V8</t>
  </si>
  <si>
    <t>V9</t>
  </si>
  <si>
    <t>Vf</t>
  </si>
  <si>
    <t>V4+V5+V6+V7+V8+V9</t>
  </si>
  <si>
    <t>Splátky jistin úvěrů, dluhopisů</t>
  </si>
  <si>
    <t>V</t>
  </si>
  <si>
    <t>Vk+Vf</t>
  </si>
  <si>
    <t>Konsolidované výdaje celkem</t>
  </si>
  <si>
    <t>D</t>
  </si>
  <si>
    <t>P-V</t>
  </si>
  <si>
    <t>Hotovost běžného roku</t>
  </si>
  <si>
    <t>E</t>
  </si>
  <si>
    <t>A+D</t>
  </si>
  <si>
    <t>Hotovost na konci roku</t>
  </si>
  <si>
    <t>Pozn. Vyplňuje se časová řada od roku předcházejícího roku podání žádosti plus roky realizace akce, je-li součástí podpory půjčka SFŽP plus dalších pět let po ukončení akce.</t>
  </si>
  <si>
    <t>Pozn. Ve výhledových letech se uvažuje konsolidace příjmů či výdajů rovná nule (Kp, Kv). Úroky nejsou uváděny samostatně, neboť jsou výnosem nebo nákladem, proto se považují za příjmy nebo výdaje.</t>
  </si>
  <si>
    <t>Doplňující komentář</t>
  </si>
  <si>
    <t>Tok peněžní hotovosti Cash Flow je zpracován pro roky 2012 - 2015. Vychází ze schváleného rozpočtu a rozpočtového výhledu a z průběžných odhadů příjmů a výdajů v jednotlivých letech.</t>
  </si>
  <si>
    <t>Rákosníčkovo hřiště - chodník a úprava terénu</t>
  </si>
  <si>
    <t>IDS - demolice objektu č.p. 3212</t>
  </si>
  <si>
    <t>poř.č.</t>
  </si>
  <si>
    <t>1.</t>
  </si>
  <si>
    <t>2.</t>
  </si>
  <si>
    <t>13.</t>
  </si>
  <si>
    <t>14.</t>
  </si>
  <si>
    <t>15.</t>
  </si>
  <si>
    <t>16.</t>
  </si>
  <si>
    <t>17.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</si>
  <si>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</si>
  <si>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</si>
  <si>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</si>
  <si>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</si>
  <si>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</si>
  <si>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</si>
  <si>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</si>
  <si>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</si>
  <si>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</si>
  <si>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</si>
  <si>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</si>
  <si>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</si>
  <si>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</si>
  <si>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</si>
  <si>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</si>
  <si>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</si>
  <si>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</si>
  <si>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</si>
  <si>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</si>
  <si>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</si>
  <si>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</si>
  <si>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</si>
  <si>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</si>
  <si>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</si>
  <si>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</si>
  <si>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</si>
  <si>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</si>
  <si>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</si>
  <si>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</si>
  <si>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</si>
  <si>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</si>
  <si>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</si>
  <si>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</si>
  <si>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</si>
  <si>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</si>
  <si>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</si>
  <si>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</si>
  <si>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</si>
  <si>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</si>
  <si>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</si>
  <si>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</si>
  <si>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</si>
  <si>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</si>
  <si>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</si>
  <si>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</si>
  <si>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</si>
  <si>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</si>
  <si>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</si>
  <si>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</si>
  <si>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</si>
  <si>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</si>
  <si>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</si>
  <si>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</si>
  <si>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</si>
  <si>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</si>
  <si>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</si>
  <si>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</si>
  <si>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</si>
  <si>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</si>
  <si>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Vybrané investiční a neinvestiční výdaje</t>
  </si>
  <si>
    <t>varianta bez nového úvěru</t>
  </si>
  <si>
    <t>minimální varianta s novým úvěrem ve výši 50 mil. Kč, se splatností 8 roků, začátek splácení od r. 2015</t>
  </si>
  <si>
    <t>maximální varianta s novým úvěrem ve výši 100 mil. Kč, se splatností 8 roků, začátek splácení od r. 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</si>
</sst>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45" fillId="23" borderId="6" applyNumberFormat="0" applyFont="0" applyAlignment="0" applyProtection="0"/>
    <xf numFmtId="9" fontId="45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9" fillId="0" borderId="16" xfId="46" applyFont="1" applyFill="1" applyBorder="1" applyAlignment="1">
      <alignment horizontal="right"/>
      <protection/>
    </xf>
    <xf numFmtId="0" fontId="9" fillId="0" borderId="16" xfId="46" applyFont="1" applyFill="1" applyBorder="1" applyAlignment="1">
      <alignment horizontal="left"/>
      <protection/>
    </xf>
    <xf numFmtId="0" fontId="9" fillId="0" borderId="18" xfId="46" applyFont="1" applyFill="1" applyBorder="1" applyAlignment="1">
      <alignment horizontal="right"/>
      <protection/>
    </xf>
    <xf numFmtId="0" fontId="9" fillId="0" borderId="17" xfId="46" applyFont="1" applyFill="1" applyBorder="1" applyAlignment="1">
      <alignment horizontal="right"/>
      <protection/>
    </xf>
    <xf numFmtId="0" fontId="9" fillId="0" borderId="19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14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 applyProtection="1">
      <alignment horizontal="right"/>
      <protection locked="0"/>
    </xf>
    <xf numFmtId="4" fontId="9" fillId="0" borderId="16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4" fontId="9" fillId="0" borderId="22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 horizontal="right"/>
    </xf>
    <xf numFmtId="0" fontId="9" fillId="0" borderId="28" xfId="0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0" fontId="6" fillId="0" borderId="2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left" vertical="center"/>
    </xf>
    <xf numFmtId="4" fontId="6" fillId="0" borderId="2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4" fontId="6" fillId="0" borderId="16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" fontId="9" fillId="0" borderId="16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4" fontId="63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6" fillId="0" borderId="27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4" fontId="9" fillId="0" borderId="2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" fontId="9" fillId="0" borderId="19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4" fontId="62" fillId="0" borderId="0" xfId="0" applyNumberFormat="1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9" fillId="0" borderId="20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0" xfId="0" applyFont="1" applyFill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22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2" xfId="46" applyFont="1" applyFill="1" applyBorder="1" applyAlignment="1">
      <alignment horizontal="left"/>
      <protection/>
    </xf>
    <xf numFmtId="3" fontId="9" fillId="0" borderId="16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" fontId="15" fillId="0" borderId="16" xfId="0" applyNumberFormat="1" applyFont="1" applyFill="1" applyBorder="1" applyAlignment="1">
      <alignment/>
    </xf>
    <xf numFmtId="4" fontId="9" fillId="0" borderId="24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1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/>
    </xf>
    <xf numFmtId="0" fontId="4" fillId="0" borderId="45" xfId="0" applyFont="1" applyFill="1" applyBorder="1" applyAlignment="1">
      <alignment/>
    </xf>
    <xf numFmtId="14" fontId="9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4" fontId="6" fillId="0" borderId="46" xfId="46" applyNumberFormat="1" applyFont="1" applyFill="1" applyBorder="1" applyAlignment="1">
      <alignment horizontal="center"/>
      <protection/>
    </xf>
    <xf numFmtId="0" fontId="6" fillId="0" borderId="28" xfId="0" applyFont="1" applyFill="1" applyBorder="1" applyAlignment="1">
      <alignment horizontal="center"/>
    </xf>
    <xf numFmtId="0" fontId="6" fillId="0" borderId="48" xfId="0" applyFont="1" applyFill="1" applyBorder="1" applyAlignment="1">
      <alignment/>
    </xf>
    <xf numFmtId="4" fontId="6" fillId="0" borderId="28" xfId="46" applyNumberFormat="1" applyFont="1" applyFill="1" applyBorder="1" applyAlignment="1">
      <alignment horizontal="center"/>
      <protection/>
    </xf>
    <xf numFmtId="49" fontId="6" fillId="0" borderId="28" xfId="46" applyNumberFormat="1" applyFont="1" applyFill="1" applyBorder="1" applyAlignment="1">
      <alignment horizontal="center"/>
      <protection/>
    </xf>
    <xf numFmtId="4" fontId="9" fillId="0" borderId="15" xfId="0" applyNumberFormat="1" applyFont="1" applyFill="1" applyBorder="1" applyAlignment="1">
      <alignment horizontal="right"/>
    </xf>
    <xf numFmtId="165" fontId="12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 horizontal="right"/>
    </xf>
    <xf numFmtId="165" fontId="6" fillId="0" borderId="46" xfId="46" applyNumberFormat="1" applyFont="1" applyFill="1" applyBorder="1" applyAlignment="1">
      <alignment horizontal="center"/>
      <protection/>
    </xf>
    <xf numFmtId="165" fontId="6" fillId="0" borderId="28" xfId="46" applyNumberFormat="1" applyFont="1" applyFill="1" applyBorder="1" applyAlignment="1">
      <alignment horizontal="center"/>
      <protection/>
    </xf>
    <xf numFmtId="165" fontId="9" fillId="0" borderId="15" xfId="0" applyNumberFormat="1" applyFont="1" applyFill="1" applyBorder="1" applyAlignment="1">
      <alignment/>
    </xf>
    <xf numFmtId="165" fontId="9" fillId="0" borderId="16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5" fontId="9" fillId="0" borderId="24" xfId="0" applyNumberFormat="1" applyFont="1" applyFill="1" applyBorder="1" applyAlignment="1">
      <alignment/>
    </xf>
    <xf numFmtId="165" fontId="9" fillId="0" borderId="26" xfId="0" applyNumberFormat="1" applyFont="1" applyFill="1" applyBorder="1" applyAlignment="1">
      <alignment/>
    </xf>
    <xf numFmtId="165" fontId="6" fillId="0" borderId="26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28" xfId="0" applyNumberFormat="1" applyFont="1" applyFill="1" applyBorder="1" applyAlignment="1">
      <alignment/>
    </xf>
    <xf numFmtId="165" fontId="6" fillId="0" borderId="27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16" xfId="0" applyNumberFormat="1" applyFont="1" applyFill="1" applyBorder="1" applyAlignment="1">
      <alignment horizontal="center"/>
    </xf>
    <xf numFmtId="165" fontId="9" fillId="0" borderId="17" xfId="0" applyNumberFormat="1" applyFont="1" applyFill="1" applyBorder="1" applyAlignment="1">
      <alignment/>
    </xf>
    <xf numFmtId="165" fontId="6" fillId="0" borderId="27" xfId="0" applyNumberFormat="1" applyFont="1" applyFill="1" applyBorder="1" applyAlignment="1">
      <alignment/>
    </xf>
    <xf numFmtId="165" fontId="9" fillId="0" borderId="0" xfId="0" applyNumberFormat="1" applyFont="1" applyFill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65" fontId="16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/>
    </xf>
    <xf numFmtId="165" fontId="7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165" fontId="6" fillId="0" borderId="46" xfId="0" applyNumberFormat="1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165" fontId="9" fillId="0" borderId="24" xfId="0" applyNumberFormat="1" applyFont="1" applyFill="1" applyBorder="1" applyAlignment="1">
      <alignment/>
    </xf>
    <xf numFmtId="165" fontId="9" fillId="0" borderId="16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65" fontId="9" fillId="0" borderId="15" xfId="0" applyNumberFormat="1" applyFont="1" applyFill="1" applyBorder="1" applyAlignment="1">
      <alignment/>
    </xf>
    <xf numFmtId="165" fontId="6" fillId="0" borderId="19" xfId="0" applyNumberFormat="1" applyFont="1" applyFill="1" applyBorder="1" applyAlignment="1">
      <alignment/>
    </xf>
    <xf numFmtId="165" fontId="9" fillId="0" borderId="17" xfId="0" applyNumberFormat="1" applyFont="1" applyFill="1" applyBorder="1" applyAlignment="1">
      <alignment/>
    </xf>
    <xf numFmtId="165" fontId="9" fillId="0" borderId="28" xfId="0" applyNumberFormat="1" applyFont="1" applyFill="1" applyBorder="1" applyAlignment="1">
      <alignment/>
    </xf>
    <xf numFmtId="165" fontId="9" fillId="0" borderId="26" xfId="0" applyNumberFormat="1" applyFont="1" applyFill="1" applyBorder="1" applyAlignment="1">
      <alignment/>
    </xf>
    <xf numFmtId="165" fontId="6" fillId="0" borderId="20" xfId="0" applyNumberFormat="1" applyFont="1" applyFill="1" applyBorder="1" applyAlignment="1">
      <alignment vertical="center"/>
    </xf>
    <xf numFmtId="0" fontId="19" fillId="0" borderId="0" xfId="0" applyFont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0" fontId="0" fillId="0" borderId="16" xfId="0" applyBorder="1" applyAlignment="1">
      <alignment/>
    </xf>
    <xf numFmtId="3" fontId="6" fillId="0" borderId="15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wrapText="1"/>
    </xf>
    <xf numFmtId="3" fontId="6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49" fontId="0" fillId="33" borderId="0" xfId="0" applyNumberFormat="1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65" fillId="33" borderId="0" xfId="0" applyFont="1" applyFill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/>
    </xf>
    <xf numFmtId="0" fontId="0" fillId="34" borderId="16" xfId="0" applyFill="1" applyBorder="1" applyAlignment="1">
      <alignment vertical="center"/>
    </xf>
    <xf numFmtId="49" fontId="18" fillId="33" borderId="16" xfId="0" applyNumberFormat="1" applyFont="1" applyFill="1" applyBorder="1" applyAlignment="1">
      <alignment vertical="center" wrapText="1"/>
    </xf>
    <xf numFmtId="3" fontId="18" fillId="33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 vertical="center"/>
    </xf>
    <xf numFmtId="49" fontId="0" fillId="33" borderId="16" xfId="0" applyNumberFormat="1" applyFill="1" applyBorder="1" applyAlignment="1">
      <alignment vertical="center" wrapText="1"/>
    </xf>
    <xf numFmtId="3" fontId="0" fillId="33" borderId="16" xfId="0" applyNumberFormat="1" applyFill="1" applyBorder="1" applyAlignment="1">
      <alignment horizontal="center" vertical="center"/>
    </xf>
    <xf numFmtId="3" fontId="0" fillId="35" borderId="16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18" fillId="34" borderId="16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 wrapText="1"/>
    </xf>
    <xf numFmtId="3" fontId="24" fillId="34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46" applyFont="1" applyFill="1" applyAlignment="1">
      <alignment/>
      <protection/>
    </xf>
    <xf numFmtId="3" fontId="6" fillId="0" borderId="22" xfId="0" applyNumberFormat="1" applyFont="1" applyFill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33" borderId="0" xfId="0" applyFill="1" applyAlignment="1">
      <alignment horizontal="left" wrapText="1"/>
    </xf>
    <xf numFmtId="0" fontId="25" fillId="34" borderId="16" xfId="0" applyFont="1" applyFill="1" applyBorder="1" applyAlignment="1">
      <alignment horizontal="center" vertical="center" wrapText="1"/>
    </xf>
    <xf numFmtId="49" fontId="0" fillId="33" borderId="16" xfId="0" applyNumberForma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8" fillId="34" borderId="16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18" fillId="34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18" fillId="34" borderId="22" xfId="0" applyFont="1" applyFill="1" applyBorder="1" applyAlignment="1">
      <alignment horizontal="center" vertical="center"/>
    </xf>
    <xf numFmtId="0" fontId="18" fillId="34" borderId="52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tabSelected="1" zoomScalePageLayoutView="0" workbookViewId="0" topLeftCell="A2">
      <selection activeCell="E25" sqref="E25"/>
    </sheetView>
  </sheetViews>
  <sheetFormatPr defaultColWidth="9.140625" defaultRowHeight="12.75"/>
  <cols>
    <col min="1" max="1" width="9.140625" style="11" customWidth="1"/>
    <col min="2" max="2" width="26.8515625" style="11" customWidth="1"/>
    <col min="3" max="5" width="23.7109375" style="11" customWidth="1"/>
    <col min="6" max="16384" width="9.140625" style="11" customWidth="1"/>
  </cols>
  <sheetData>
    <row r="1" s="179" customFormat="1" ht="15.75" hidden="1">
      <c r="A1" s="178" t="s">
        <v>0</v>
      </c>
    </row>
    <row r="2" s="179" customFormat="1" ht="12.75"/>
    <row r="3" spans="1:2" s="179" customFormat="1" ht="15.75" hidden="1">
      <c r="A3" s="178" t="s">
        <v>1</v>
      </c>
      <c r="B3" s="180"/>
    </row>
    <row r="4" spans="1:2" s="179" customFormat="1" ht="15.75">
      <c r="A4" s="178" t="s">
        <v>2</v>
      </c>
      <c r="B4" s="180"/>
    </row>
    <row r="5" s="179" customFormat="1" ht="15.75">
      <c r="A5" s="178"/>
    </row>
    <row r="6" spans="1:5" s="179" customFormat="1" ht="20.25">
      <c r="A6" s="304" t="s">
        <v>480</v>
      </c>
      <c r="B6" s="305"/>
      <c r="C6" s="306"/>
      <c r="D6" s="306"/>
      <c r="E6" s="306"/>
    </row>
    <row r="7" spans="1:5" ht="15.75">
      <c r="A7" s="103"/>
      <c r="B7" s="181"/>
      <c r="C7" s="181"/>
      <c r="D7" s="181"/>
      <c r="E7" s="181"/>
    </row>
    <row r="8" spans="1:5" ht="13.5" thickBot="1">
      <c r="A8" s="182"/>
      <c r="C8" s="130"/>
      <c r="D8" s="130"/>
      <c r="E8" s="130" t="s">
        <v>3</v>
      </c>
    </row>
    <row r="9" spans="2:229" ht="18.75" customHeight="1">
      <c r="B9" s="307" t="s">
        <v>4</v>
      </c>
      <c r="C9" s="183" t="s">
        <v>5</v>
      </c>
      <c r="D9" s="183" t="s">
        <v>6</v>
      </c>
      <c r="E9" s="184" t="s">
        <v>7</v>
      </c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</row>
    <row r="10" spans="2:229" ht="13.5" customHeight="1" thickBot="1">
      <c r="B10" s="308"/>
      <c r="C10" s="186" t="s">
        <v>8</v>
      </c>
      <c r="D10" s="186" t="s">
        <v>8</v>
      </c>
      <c r="E10" s="187" t="s">
        <v>8</v>
      </c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</row>
    <row r="11" spans="2:229" ht="13.5" thickTop="1">
      <c r="B11" s="188" t="s">
        <v>9</v>
      </c>
      <c r="C11" s="189">
        <v>278551</v>
      </c>
      <c r="D11" s="189">
        <v>277976.2</v>
      </c>
      <c r="E11" s="190">
        <v>160991.6</v>
      </c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</row>
    <row r="12" spans="2:229" ht="12.75">
      <c r="B12" s="191" t="s">
        <v>10</v>
      </c>
      <c r="C12" s="192">
        <v>59076.1</v>
      </c>
      <c r="D12" s="192">
        <v>60217.9</v>
      </c>
      <c r="E12" s="193">
        <v>40770.1</v>
      </c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</row>
    <row r="13" spans="2:229" ht="12.75">
      <c r="B13" s="191" t="s">
        <v>11</v>
      </c>
      <c r="C13" s="192">
        <v>12871</v>
      </c>
      <c r="D13" s="192">
        <v>12871</v>
      </c>
      <c r="E13" s="193">
        <v>4083.1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</row>
    <row r="14" spans="2:229" ht="12.75">
      <c r="B14" s="194" t="s">
        <v>12</v>
      </c>
      <c r="C14" s="192">
        <v>84439</v>
      </c>
      <c r="D14" s="192">
        <v>80057.9</v>
      </c>
      <c r="E14" s="193">
        <f>368702.9-343654.4</f>
        <v>25048.5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5"/>
      <c r="BV14" s="185"/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5"/>
      <c r="DG14" s="185"/>
      <c r="DH14" s="185"/>
      <c r="DI14" s="185"/>
      <c r="DJ14" s="185"/>
      <c r="DK14" s="185"/>
      <c r="DL14" s="185"/>
      <c r="DM14" s="185"/>
      <c r="DN14" s="185"/>
      <c r="DO14" s="185"/>
      <c r="DP14" s="185"/>
      <c r="DQ14" s="185"/>
      <c r="DR14" s="185"/>
      <c r="DS14" s="185"/>
      <c r="DT14" s="185"/>
      <c r="DU14" s="185"/>
      <c r="DV14" s="185"/>
      <c r="DW14" s="185"/>
      <c r="DX14" s="185"/>
      <c r="DY14" s="185"/>
      <c r="DZ14" s="185"/>
      <c r="EA14" s="185"/>
      <c r="EB14" s="185"/>
      <c r="EC14" s="185"/>
      <c r="ED14" s="185"/>
      <c r="EE14" s="185"/>
      <c r="EF14" s="185"/>
      <c r="EG14" s="185"/>
      <c r="EH14" s="185"/>
      <c r="EI14" s="185"/>
      <c r="EJ14" s="185"/>
      <c r="EK14" s="185"/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5"/>
      <c r="EX14" s="185"/>
      <c r="EY14" s="185"/>
      <c r="EZ14" s="185"/>
      <c r="FA14" s="185"/>
      <c r="FB14" s="185"/>
      <c r="FC14" s="185"/>
      <c r="FD14" s="185"/>
      <c r="FE14" s="185"/>
      <c r="FF14" s="185"/>
      <c r="FG14" s="185"/>
      <c r="FH14" s="185"/>
      <c r="FI14" s="185"/>
      <c r="FJ14" s="185"/>
      <c r="FK14" s="185"/>
      <c r="FL14" s="185"/>
      <c r="FM14" s="185"/>
      <c r="FN14" s="185"/>
      <c r="FO14" s="185"/>
      <c r="FP14" s="185"/>
      <c r="FQ14" s="185"/>
      <c r="FR14" s="185"/>
      <c r="FS14" s="185"/>
      <c r="FT14" s="185"/>
      <c r="FU14" s="185"/>
      <c r="FV14" s="185"/>
      <c r="FW14" s="185"/>
      <c r="FX14" s="185"/>
      <c r="FY14" s="185"/>
      <c r="FZ14" s="185"/>
      <c r="GA14" s="185"/>
      <c r="GB14" s="185"/>
      <c r="GC14" s="185"/>
      <c r="GD14" s="185"/>
      <c r="GE14" s="185"/>
      <c r="GF14" s="185"/>
      <c r="GG14" s="185"/>
      <c r="GH14" s="185"/>
      <c r="GI14" s="185"/>
      <c r="GJ14" s="185"/>
      <c r="GK14" s="185"/>
      <c r="GL14" s="185"/>
      <c r="GM14" s="185"/>
      <c r="GN14" s="185"/>
      <c r="GO14" s="185"/>
      <c r="GP14" s="185"/>
      <c r="GQ14" s="185"/>
      <c r="GR14" s="185"/>
      <c r="GS14" s="185"/>
      <c r="GT14" s="185"/>
      <c r="GU14" s="185"/>
      <c r="GV14" s="185"/>
      <c r="GW14" s="185"/>
      <c r="GX14" s="185"/>
      <c r="GY14" s="185"/>
      <c r="GZ14" s="185"/>
      <c r="HA14" s="185"/>
      <c r="HB14" s="185"/>
      <c r="HC14" s="185"/>
      <c r="HD14" s="185"/>
      <c r="HE14" s="185"/>
      <c r="HF14" s="185"/>
      <c r="HG14" s="185"/>
      <c r="HH14" s="185"/>
      <c r="HI14" s="185"/>
      <c r="HJ14" s="185"/>
      <c r="HK14" s="185"/>
      <c r="HL14" s="185"/>
      <c r="HM14" s="185"/>
      <c r="HN14" s="185"/>
      <c r="HO14" s="185"/>
      <c r="HP14" s="185"/>
      <c r="HQ14" s="185"/>
      <c r="HR14" s="185"/>
      <c r="HS14" s="185"/>
      <c r="HT14" s="185"/>
      <c r="HU14" s="185"/>
    </row>
    <row r="15" spans="2:229" ht="19.5" customHeight="1" thickBot="1">
      <c r="B15" s="195" t="s">
        <v>13</v>
      </c>
      <c r="C15" s="196">
        <f>SUM(C11:C14)</f>
        <v>434937.1</v>
      </c>
      <c r="D15" s="196">
        <f>SUM(D11:D14)</f>
        <v>431123</v>
      </c>
      <c r="E15" s="197">
        <f>SUM(E11:E14)</f>
        <v>230893.30000000002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185"/>
      <c r="BU15" s="185"/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5"/>
      <c r="CH15" s="185"/>
      <c r="CI15" s="185"/>
      <c r="CJ15" s="185"/>
      <c r="CK15" s="185"/>
      <c r="CL15" s="185"/>
      <c r="CM15" s="185"/>
      <c r="CN15" s="185"/>
      <c r="CO15" s="185"/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5"/>
      <c r="DG15" s="185"/>
      <c r="DH15" s="185"/>
      <c r="DI15" s="185"/>
      <c r="DJ15" s="185"/>
      <c r="DK15" s="185"/>
      <c r="DL15" s="185"/>
      <c r="DM15" s="185"/>
      <c r="DN15" s="185"/>
      <c r="DO15" s="185"/>
      <c r="DP15" s="185"/>
      <c r="DQ15" s="185"/>
      <c r="DR15" s="185"/>
      <c r="DS15" s="185"/>
      <c r="DT15" s="185"/>
      <c r="DU15" s="185"/>
      <c r="DV15" s="185"/>
      <c r="DW15" s="185"/>
      <c r="DX15" s="185"/>
      <c r="DY15" s="185"/>
      <c r="DZ15" s="185"/>
      <c r="EA15" s="185"/>
      <c r="EB15" s="185"/>
      <c r="EC15" s="185"/>
      <c r="ED15" s="185"/>
      <c r="EE15" s="185"/>
      <c r="EF15" s="185"/>
      <c r="EG15" s="185"/>
      <c r="EH15" s="185"/>
      <c r="EI15" s="185"/>
      <c r="EJ15" s="185"/>
      <c r="EK15" s="185"/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5"/>
      <c r="EX15" s="185"/>
      <c r="EY15" s="185"/>
      <c r="EZ15" s="185"/>
      <c r="FA15" s="185"/>
      <c r="FB15" s="185"/>
      <c r="FC15" s="185"/>
      <c r="FD15" s="185"/>
      <c r="FE15" s="185"/>
      <c r="FF15" s="185"/>
      <c r="FG15" s="185"/>
      <c r="FH15" s="185"/>
      <c r="FI15" s="185"/>
      <c r="FJ15" s="185"/>
      <c r="FK15" s="185"/>
      <c r="FL15" s="185"/>
      <c r="FM15" s="185"/>
      <c r="FN15" s="185"/>
      <c r="FO15" s="185"/>
      <c r="FP15" s="185"/>
      <c r="FQ15" s="185"/>
      <c r="FR15" s="185"/>
      <c r="FS15" s="185"/>
      <c r="FT15" s="185"/>
      <c r="FU15" s="185"/>
      <c r="FV15" s="185"/>
      <c r="FW15" s="185"/>
      <c r="FX15" s="185"/>
      <c r="FY15" s="185"/>
      <c r="FZ15" s="185"/>
      <c r="GA15" s="185"/>
      <c r="GB15" s="185"/>
      <c r="GC15" s="185"/>
      <c r="GD15" s="185"/>
      <c r="GE15" s="185"/>
      <c r="GF15" s="185"/>
      <c r="GG15" s="185"/>
      <c r="GH15" s="185"/>
      <c r="GI15" s="185"/>
      <c r="GJ15" s="185"/>
      <c r="GK15" s="185"/>
      <c r="GL15" s="185"/>
      <c r="GM15" s="185"/>
      <c r="GN15" s="185"/>
      <c r="GO15" s="185"/>
      <c r="GP15" s="185"/>
      <c r="GQ15" s="185"/>
      <c r="GR15" s="185"/>
      <c r="GS15" s="185"/>
      <c r="GT15" s="185"/>
      <c r="GU15" s="185"/>
      <c r="GV15" s="185"/>
      <c r="GW15" s="185"/>
      <c r="GX15" s="185"/>
      <c r="GY15" s="185"/>
      <c r="GZ15" s="185"/>
      <c r="HA15" s="185"/>
      <c r="HB15" s="185"/>
      <c r="HC15" s="185"/>
      <c r="HD15" s="185"/>
      <c r="HE15" s="185"/>
      <c r="HF15" s="185"/>
      <c r="HG15" s="185"/>
      <c r="HH15" s="185"/>
      <c r="HI15" s="185"/>
      <c r="HJ15" s="185"/>
      <c r="HK15" s="185"/>
      <c r="HL15" s="185"/>
      <c r="HM15" s="185"/>
      <c r="HN15" s="185"/>
      <c r="HO15" s="185"/>
      <c r="HP15" s="185"/>
      <c r="HQ15" s="185"/>
      <c r="HR15" s="185"/>
      <c r="HS15" s="185"/>
      <c r="HT15" s="185"/>
      <c r="HU15" s="185"/>
    </row>
    <row r="16" spans="2:229" ht="13.5" thickTop="1">
      <c r="B16" s="198"/>
      <c r="C16" s="2"/>
      <c r="D16" s="2"/>
      <c r="E16" s="3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5"/>
      <c r="DK16" s="185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5"/>
      <c r="DX16" s="185"/>
      <c r="DY16" s="185"/>
      <c r="DZ16" s="185"/>
      <c r="EA16" s="185"/>
      <c r="EB16" s="185"/>
      <c r="EC16" s="185"/>
      <c r="ED16" s="185"/>
      <c r="EE16" s="185"/>
      <c r="EF16" s="185"/>
      <c r="EG16" s="185"/>
      <c r="EH16" s="185"/>
      <c r="EI16" s="185"/>
      <c r="EJ16" s="185"/>
      <c r="EK16" s="185"/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5"/>
      <c r="EX16" s="185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85"/>
      <c r="FK16" s="185"/>
      <c r="FL16" s="185"/>
      <c r="FM16" s="185"/>
      <c r="FN16" s="185"/>
      <c r="FO16" s="185"/>
      <c r="FP16" s="185"/>
      <c r="FQ16" s="185"/>
      <c r="FR16" s="185"/>
      <c r="FS16" s="185"/>
      <c r="FT16" s="185"/>
      <c r="FU16" s="185"/>
      <c r="FV16" s="185"/>
      <c r="FW16" s="185"/>
      <c r="FX16" s="185"/>
      <c r="FY16" s="185"/>
      <c r="FZ16" s="185"/>
      <c r="GA16" s="185"/>
      <c r="GB16" s="185"/>
      <c r="GC16" s="185"/>
      <c r="GD16" s="185"/>
      <c r="GE16" s="185"/>
      <c r="GF16" s="185"/>
      <c r="GG16" s="185"/>
      <c r="GH16" s="185"/>
      <c r="GI16" s="185"/>
      <c r="GJ16" s="185"/>
      <c r="GK16" s="185"/>
      <c r="GL16" s="185"/>
      <c r="GM16" s="185"/>
      <c r="GN16" s="185"/>
      <c r="GO16" s="185"/>
      <c r="GP16" s="185"/>
      <c r="GQ16" s="185"/>
      <c r="GR16" s="185"/>
      <c r="GS16" s="185"/>
      <c r="GT16" s="185"/>
      <c r="GU16" s="185"/>
      <c r="GV16" s="185"/>
      <c r="GW16" s="185"/>
      <c r="GX16" s="185"/>
      <c r="GY16" s="185"/>
      <c r="GZ16" s="185"/>
      <c r="HA16" s="185"/>
      <c r="HB16" s="185"/>
      <c r="HC16" s="185"/>
      <c r="HD16" s="185"/>
      <c r="HE16" s="185"/>
      <c r="HF16" s="185"/>
      <c r="HG16" s="185"/>
      <c r="HH16" s="185"/>
      <c r="HI16" s="185"/>
      <c r="HJ16" s="185"/>
      <c r="HK16" s="185"/>
      <c r="HL16" s="185"/>
      <c r="HM16" s="185"/>
      <c r="HN16" s="185"/>
      <c r="HO16" s="185"/>
      <c r="HP16" s="185"/>
      <c r="HQ16" s="185"/>
      <c r="HR16" s="185"/>
      <c r="HS16" s="185"/>
      <c r="HT16" s="185"/>
      <c r="HU16" s="185"/>
    </row>
    <row r="17" spans="1:229" ht="12.75">
      <c r="A17" s="185"/>
      <c r="B17" s="191" t="s">
        <v>14</v>
      </c>
      <c r="C17" s="192">
        <v>355833.5</v>
      </c>
      <c r="D17" s="192">
        <v>382378.3</v>
      </c>
      <c r="E17" s="193">
        <f>527463.4-343654.4</f>
        <v>183809</v>
      </c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5"/>
      <c r="BR17" s="185"/>
      <c r="BS17" s="185"/>
      <c r="BT17" s="185"/>
      <c r="BU17" s="185"/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5"/>
      <c r="CH17" s="185"/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5"/>
      <c r="DK17" s="185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5"/>
      <c r="DX17" s="185"/>
      <c r="DY17" s="185"/>
      <c r="DZ17" s="185"/>
      <c r="EA17" s="185"/>
      <c r="EB17" s="185"/>
      <c r="EC17" s="185"/>
      <c r="ED17" s="185"/>
      <c r="EE17" s="185"/>
      <c r="EF17" s="185"/>
      <c r="EG17" s="185"/>
      <c r="EH17" s="185"/>
      <c r="EI17" s="185"/>
      <c r="EJ17" s="185"/>
      <c r="EK17" s="185"/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5"/>
      <c r="EX17" s="185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85"/>
      <c r="FK17" s="185"/>
      <c r="FL17" s="185"/>
      <c r="FM17" s="185"/>
      <c r="FN17" s="185"/>
      <c r="FO17" s="185"/>
      <c r="FP17" s="185"/>
      <c r="FQ17" s="185"/>
      <c r="FR17" s="185"/>
      <c r="FS17" s="185"/>
      <c r="FT17" s="185"/>
      <c r="FU17" s="185"/>
      <c r="FV17" s="185"/>
      <c r="FW17" s="185"/>
      <c r="FX17" s="185"/>
      <c r="FY17" s="185"/>
      <c r="FZ17" s="185"/>
      <c r="GA17" s="185"/>
      <c r="GB17" s="185"/>
      <c r="GC17" s="185"/>
      <c r="GD17" s="185"/>
      <c r="GE17" s="185"/>
      <c r="GF17" s="185"/>
      <c r="GG17" s="185"/>
      <c r="GH17" s="185"/>
      <c r="GI17" s="185"/>
      <c r="GJ17" s="185"/>
      <c r="GK17" s="185"/>
      <c r="GL17" s="185"/>
      <c r="GM17" s="185"/>
      <c r="GN17" s="185"/>
      <c r="GO17" s="185"/>
      <c r="GP17" s="185"/>
      <c r="GQ17" s="185"/>
      <c r="GR17" s="185"/>
      <c r="GS17" s="185"/>
      <c r="GT17" s="185"/>
      <c r="GU17" s="185"/>
      <c r="GV17" s="185"/>
      <c r="GW17" s="185"/>
      <c r="GX17" s="185"/>
      <c r="GY17" s="185"/>
      <c r="GZ17" s="185"/>
      <c r="HA17" s="185"/>
      <c r="HB17" s="185"/>
      <c r="HC17" s="185"/>
      <c r="HD17" s="185"/>
      <c r="HE17" s="185"/>
      <c r="HF17" s="185"/>
      <c r="HG17" s="185"/>
      <c r="HH17" s="185"/>
      <c r="HI17" s="185"/>
      <c r="HJ17" s="185"/>
      <c r="HK17" s="185"/>
      <c r="HL17" s="185"/>
      <c r="HM17" s="185"/>
      <c r="HN17" s="185"/>
      <c r="HO17" s="185"/>
      <c r="HP17" s="185"/>
      <c r="HQ17" s="185"/>
      <c r="HR17" s="185"/>
      <c r="HS17" s="185"/>
      <c r="HT17" s="185"/>
      <c r="HU17" s="185"/>
    </row>
    <row r="18" spans="1:251" s="199" customFormat="1" ht="12.75">
      <c r="A18" s="185"/>
      <c r="B18" s="194" t="s">
        <v>15</v>
      </c>
      <c r="C18" s="192">
        <v>136705</v>
      </c>
      <c r="D18" s="192">
        <v>150561.4</v>
      </c>
      <c r="E18" s="193">
        <v>8535.1</v>
      </c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5"/>
      <c r="CH18" s="185"/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5"/>
      <c r="DK18" s="185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5"/>
      <c r="DX18" s="185"/>
      <c r="DY18" s="185"/>
      <c r="DZ18" s="185"/>
      <c r="EA18" s="185"/>
      <c r="EB18" s="185"/>
      <c r="EC18" s="185"/>
      <c r="ED18" s="185"/>
      <c r="EE18" s="185"/>
      <c r="EF18" s="185"/>
      <c r="EG18" s="185"/>
      <c r="EH18" s="185"/>
      <c r="EI18" s="185"/>
      <c r="EJ18" s="185"/>
      <c r="EK18" s="185"/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5"/>
      <c r="EX18" s="185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85"/>
      <c r="FK18" s="185"/>
      <c r="FL18" s="185"/>
      <c r="FM18" s="185"/>
      <c r="FN18" s="185"/>
      <c r="FO18" s="185"/>
      <c r="FP18" s="185"/>
      <c r="FQ18" s="185"/>
      <c r="FR18" s="185"/>
      <c r="FS18" s="185"/>
      <c r="FT18" s="185"/>
      <c r="FU18" s="185"/>
      <c r="FV18" s="185"/>
      <c r="FW18" s="185"/>
      <c r="FX18" s="185"/>
      <c r="FY18" s="185"/>
      <c r="FZ18" s="185"/>
      <c r="GA18" s="185"/>
      <c r="GB18" s="185"/>
      <c r="GC18" s="185"/>
      <c r="GD18" s="185"/>
      <c r="GE18" s="185"/>
      <c r="GF18" s="185"/>
      <c r="GG18" s="185"/>
      <c r="GH18" s="185"/>
      <c r="GI18" s="185"/>
      <c r="GJ18" s="185"/>
      <c r="GK18" s="185"/>
      <c r="GL18" s="185"/>
      <c r="GM18" s="185"/>
      <c r="GN18" s="185"/>
      <c r="GO18" s="185"/>
      <c r="GP18" s="185"/>
      <c r="GQ18" s="185"/>
      <c r="GR18" s="185"/>
      <c r="GS18" s="185"/>
      <c r="GT18" s="185"/>
      <c r="GU18" s="185"/>
      <c r="GV18" s="185"/>
      <c r="GW18" s="185"/>
      <c r="GX18" s="185"/>
      <c r="GY18" s="185"/>
      <c r="GZ18" s="185"/>
      <c r="HA18" s="185"/>
      <c r="HB18" s="185"/>
      <c r="HC18" s="185"/>
      <c r="HD18" s="185"/>
      <c r="HE18" s="185"/>
      <c r="HF18" s="185"/>
      <c r="HG18" s="185"/>
      <c r="HH18" s="185"/>
      <c r="HI18" s="185"/>
      <c r="HJ18" s="185"/>
      <c r="HK18" s="185"/>
      <c r="HL18" s="185"/>
      <c r="HM18" s="185"/>
      <c r="HN18" s="185"/>
      <c r="HO18" s="185"/>
      <c r="HP18" s="185"/>
      <c r="HQ18" s="185"/>
      <c r="HR18" s="185"/>
      <c r="HS18" s="185"/>
      <c r="HT18" s="185"/>
      <c r="HU18" s="185"/>
      <c r="HV18" s="185"/>
      <c r="HW18" s="185"/>
      <c r="HX18" s="185"/>
      <c r="HY18" s="185"/>
      <c r="HZ18" s="185"/>
      <c r="IA18" s="185"/>
      <c r="IB18" s="185"/>
      <c r="IC18" s="185"/>
      <c r="ID18" s="185"/>
      <c r="IE18" s="185"/>
      <c r="IF18" s="185"/>
      <c r="IG18" s="185"/>
      <c r="IH18" s="185"/>
      <c r="II18" s="185"/>
      <c r="IJ18" s="185"/>
      <c r="IK18" s="185"/>
      <c r="IL18" s="185"/>
      <c r="IM18" s="185"/>
      <c r="IN18" s="185"/>
      <c r="IO18" s="185"/>
      <c r="IP18" s="185"/>
      <c r="IQ18" s="185"/>
    </row>
    <row r="19" spans="1:229" ht="19.5" customHeight="1" thickBot="1">
      <c r="A19" s="185"/>
      <c r="B19" s="195" t="s">
        <v>16</v>
      </c>
      <c r="C19" s="196">
        <f>SUM(C17:C18)</f>
        <v>492538.5</v>
      </c>
      <c r="D19" s="196">
        <f>SUM(D17:D18)</f>
        <v>532939.7</v>
      </c>
      <c r="E19" s="197">
        <f>SUM(E17:E18)</f>
        <v>192344.1</v>
      </c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5"/>
      <c r="CF19" s="185"/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5"/>
      <c r="DH19" s="185"/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5"/>
      <c r="DU19" s="185"/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5"/>
      <c r="EH19" s="185"/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5"/>
      <c r="EU19" s="185"/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5"/>
      <c r="FG19" s="185"/>
      <c r="FH19" s="185"/>
      <c r="FI19" s="185"/>
      <c r="FJ19" s="185"/>
      <c r="FK19" s="185"/>
      <c r="FL19" s="185"/>
      <c r="FM19" s="185"/>
      <c r="FN19" s="185"/>
      <c r="FO19" s="185"/>
      <c r="FP19" s="185"/>
      <c r="FQ19" s="185"/>
      <c r="FR19" s="185"/>
      <c r="FS19" s="185"/>
      <c r="FT19" s="185"/>
      <c r="FU19" s="185"/>
      <c r="FV19" s="185"/>
      <c r="FW19" s="185"/>
      <c r="FX19" s="185"/>
      <c r="FY19" s="185"/>
      <c r="FZ19" s="185"/>
      <c r="GA19" s="185"/>
      <c r="GB19" s="185"/>
      <c r="GC19" s="185"/>
      <c r="GD19" s="185"/>
      <c r="GE19" s="185"/>
      <c r="GF19" s="185"/>
      <c r="GG19" s="185"/>
      <c r="GH19" s="185"/>
      <c r="GI19" s="185"/>
      <c r="GJ19" s="185"/>
      <c r="GK19" s="185"/>
      <c r="GL19" s="185"/>
      <c r="GM19" s="185"/>
      <c r="GN19" s="185"/>
      <c r="GO19" s="185"/>
      <c r="GP19" s="185"/>
      <c r="GQ19" s="185"/>
      <c r="GR19" s="185"/>
      <c r="GS19" s="185"/>
      <c r="GT19" s="185"/>
      <c r="GU19" s="185"/>
      <c r="GV19" s="185"/>
      <c r="GW19" s="185"/>
      <c r="GX19" s="185"/>
      <c r="GY19" s="185"/>
      <c r="GZ19" s="185"/>
      <c r="HA19" s="185"/>
      <c r="HB19" s="185"/>
      <c r="HC19" s="185"/>
      <c r="HD19" s="185"/>
      <c r="HE19" s="185"/>
      <c r="HF19" s="185"/>
      <c r="HG19" s="185"/>
      <c r="HH19" s="185"/>
      <c r="HI19" s="185"/>
      <c r="HJ19" s="185"/>
      <c r="HK19" s="185"/>
      <c r="HL19" s="185"/>
      <c r="HM19" s="185"/>
      <c r="HN19" s="185"/>
      <c r="HO19" s="185"/>
      <c r="HP19" s="185"/>
      <c r="HQ19" s="185"/>
      <c r="HR19" s="185"/>
      <c r="HS19" s="185"/>
      <c r="HT19" s="185"/>
      <c r="HU19" s="185"/>
    </row>
    <row r="20" spans="2:229" ht="13.5" thickTop="1">
      <c r="B20" s="200"/>
      <c r="C20" s="201"/>
      <c r="D20" s="201"/>
      <c r="E20" s="202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5"/>
      <c r="DK20" s="185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5"/>
      <c r="DX20" s="185"/>
      <c r="DY20" s="185"/>
      <c r="DZ20" s="185"/>
      <c r="EA20" s="185"/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85"/>
      <c r="FK20" s="185"/>
      <c r="FL20" s="185"/>
      <c r="FM20" s="185"/>
      <c r="FN20" s="185"/>
      <c r="FO20" s="185"/>
      <c r="FP20" s="185"/>
      <c r="FQ20" s="185"/>
      <c r="FR20" s="185"/>
      <c r="FS20" s="185"/>
      <c r="FT20" s="185"/>
      <c r="FU20" s="185"/>
      <c r="FV20" s="185"/>
      <c r="FW20" s="185"/>
      <c r="FX20" s="185"/>
      <c r="FY20" s="185"/>
      <c r="FZ20" s="185"/>
      <c r="GA20" s="185"/>
      <c r="GB20" s="185"/>
      <c r="GC20" s="185"/>
      <c r="GD20" s="185"/>
      <c r="GE20" s="185"/>
      <c r="GF20" s="185"/>
      <c r="GG20" s="185"/>
      <c r="GH20" s="185"/>
      <c r="GI20" s="185"/>
      <c r="GJ20" s="185"/>
      <c r="GK20" s="185"/>
      <c r="GL20" s="185"/>
      <c r="GM20" s="185"/>
      <c r="GN20" s="185"/>
      <c r="GO20" s="185"/>
      <c r="GP20" s="185"/>
      <c r="GQ20" s="185"/>
      <c r="GR20" s="185"/>
      <c r="GS20" s="185"/>
      <c r="GT20" s="185"/>
      <c r="GU20" s="185"/>
      <c r="GV20" s="185"/>
      <c r="GW20" s="185"/>
      <c r="GX20" s="185"/>
      <c r="GY20" s="185"/>
      <c r="GZ20" s="185"/>
      <c r="HA20" s="185"/>
      <c r="HB20" s="185"/>
      <c r="HC20" s="185"/>
      <c r="HD20" s="185"/>
      <c r="HE20" s="185"/>
      <c r="HF20" s="185"/>
      <c r="HG20" s="185"/>
      <c r="HH20" s="185"/>
      <c r="HI20" s="185"/>
      <c r="HJ20" s="185"/>
      <c r="HK20" s="185"/>
      <c r="HL20" s="185"/>
      <c r="HM20" s="185"/>
      <c r="HN20" s="185"/>
      <c r="HO20" s="185"/>
      <c r="HP20" s="185"/>
      <c r="HQ20" s="185"/>
      <c r="HR20" s="185"/>
      <c r="HS20" s="185"/>
      <c r="HT20" s="185"/>
      <c r="HU20" s="185"/>
    </row>
    <row r="21" spans="2:229" ht="12.75">
      <c r="B21" s="1" t="s">
        <v>17</v>
      </c>
      <c r="C21" s="2"/>
      <c r="D21" s="2"/>
      <c r="E21" s="3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  <c r="AO21" s="185"/>
      <c r="AP21" s="185"/>
      <c r="AQ21" s="185"/>
      <c r="AR21" s="185"/>
      <c r="AS21" s="185"/>
      <c r="AT21" s="185"/>
      <c r="AU21" s="185"/>
      <c r="AV21" s="185"/>
      <c r="AW21" s="185"/>
      <c r="AX21" s="185"/>
      <c r="AY21" s="185"/>
      <c r="AZ21" s="185"/>
      <c r="BA21" s="185"/>
      <c r="BB21" s="185"/>
      <c r="BC21" s="185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5"/>
      <c r="BR21" s="185"/>
      <c r="BS21" s="185"/>
      <c r="BT21" s="185"/>
      <c r="BU21" s="185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5"/>
      <c r="CH21" s="185"/>
      <c r="CI21" s="185"/>
      <c r="CJ21" s="185"/>
      <c r="CK21" s="185"/>
      <c r="CL21" s="185"/>
      <c r="CM21" s="185"/>
      <c r="CN21" s="185"/>
      <c r="CO21" s="185"/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5"/>
      <c r="DK21" s="185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5"/>
      <c r="DX21" s="185"/>
      <c r="DY21" s="185"/>
      <c r="DZ21" s="185"/>
      <c r="EA21" s="185"/>
      <c r="EB21" s="185"/>
      <c r="EC21" s="185"/>
      <c r="ED21" s="185"/>
      <c r="EE21" s="185"/>
      <c r="EF21" s="185"/>
      <c r="EG21" s="185"/>
      <c r="EH21" s="185"/>
      <c r="EI21" s="185"/>
      <c r="EJ21" s="185"/>
      <c r="EK21" s="185"/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5"/>
      <c r="EX21" s="185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85"/>
      <c r="FK21" s="185"/>
      <c r="FL21" s="185"/>
      <c r="FM21" s="185"/>
      <c r="FN21" s="185"/>
      <c r="FO21" s="185"/>
      <c r="FP21" s="185"/>
      <c r="FQ21" s="185"/>
      <c r="FR21" s="185"/>
      <c r="FS21" s="185"/>
      <c r="FT21" s="185"/>
      <c r="FU21" s="185"/>
      <c r="FV21" s="185"/>
      <c r="FW21" s="185"/>
      <c r="FX21" s="185"/>
      <c r="FY21" s="185"/>
      <c r="FZ21" s="185"/>
      <c r="GA21" s="185"/>
      <c r="GB21" s="185"/>
      <c r="GC21" s="185"/>
      <c r="GD21" s="185"/>
      <c r="GE21" s="185"/>
      <c r="GF21" s="185"/>
      <c r="GG21" s="185"/>
      <c r="GH21" s="185"/>
      <c r="GI21" s="185"/>
      <c r="GJ21" s="185"/>
      <c r="GK21" s="185"/>
      <c r="GL21" s="185"/>
      <c r="GM21" s="185"/>
      <c r="GN21" s="185"/>
      <c r="GO21" s="185"/>
      <c r="GP21" s="185"/>
      <c r="GQ21" s="185"/>
      <c r="GR21" s="185"/>
      <c r="GS21" s="185"/>
      <c r="GT21" s="185"/>
      <c r="GU21" s="185"/>
      <c r="GV21" s="185"/>
      <c r="GW21" s="185"/>
      <c r="GX21" s="185"/>
      <c r="GY21" s="185"/>
      <c r="GZ21" s="185"/>
      <c r="HA21" s="185"/>
      <c r="HB21" s="185"/>
      <c r="HC21" s="185"/>
      <c r="HD21" s="185"/>
      <c r="HE21" s="185"/>
      <c r="HF21" s="185"/>
      <c r="HG21" s="185"/>
      <c r="HH21" s="185"/>
      <c r="HI21" s="185"/>
      <c r="HJ21" s="185"/>
      <c r="HK21" s="185"/>
      <c r="HL21" s="185"/>
      <c r="HM21" s="185"/>
      <c r="HN21" s="185"/>
      <c r="HO21" s="185"/>
      <c r="HP21" s="185"/>
      <c r="HQ21" s="185"/>
      <c r="HR21" s="185"/>
      <c r="HS21" s="185"/>
      <c r="HT21" s="185"/>
      <c r="HU21" s="185"/>
    </row>
    <row r="22" spans="2:9" ht="12.75">
      <c r="B22" s="1" t="s">
        <v>18</v>
      </c>
      <c r="C22" s="4"/>
      <c r="D22" s="4"/>
      <c r="E22" s="5">
        <v>38549.2</v>
      </c>
      <c r="I22" s="11" t="s">
        <v>19</v>
      </c>
    </row>
    <row r="23" spans="2:5" ht="15" customHeight="1" thickBot="1">
      <c r="B23" s="203" t="s">
        <v>20</v>
      </c>
      <c r="C23" s="6">
        <v>57601.4</v>
      </c>
      <c r="D23" s="6">
        <v>101816.7</v>
      </c>
      <c r="E23" s="7"/>
    </row>
    <row r="26" ht="12.75">
      <c r="B26" s="11" t="s">
        <v>21</v>
      </c>
    </row>
    <row r="27" ht="12.75">
      <c r="B27" s="11" t="s">
        <v>22</v>
      </c>
    </row>
    <row r="28" spans="3:5" ht="15">
      <c r="C28" s="204"/>
      <c r="D28" s="204"/>
      <c r="E28" s="204"/>
    </row>
    <row r="29" spans="3:5" ht="15">
      <c r="C29" s="98"/>
      <c r="D29" s="98"/>
      <c r="E29" s="98"/>
    </row>
    <row r="32" spans="3:5" ht="15">
      <c r="C32" s="204"/>
      <c r="D32" s="204"/>
      <c r="E32" s="204"/>
    </row>
    <row r="33" spans="3:5" ht="15">
      <c r="C33" s="98"/>
      <c r="D33" s="98"/>
      <c r="E33" s="98"/>
    </row>
    <row r="34" spans="3:5" ht="15">
      <c r="C34" s="98"/>
      <c r="D34" s="98"/>
      <c r="E34" s="98"/>
    </row>
    <row r="35" spans="3:5" ht="15">
      <c r="C35" s="98"/>
      <c r="D35" s="98"/>
      <c r="E35" s="98"/>
    </row>
    <row r="36" spans="3:5" ht="15">
      <c r="C36" s="98"/>
      <c r="D36" s="98"/>
      <c r="E36" s="98"/>
    </row>
    <row r="49" spans="3:5" ht="15">
      <c r="C49" s="204"/>
      <c r="D49" s="204"/>
      <c r="E49" s="204"/>
    </row>
    <row r="50" spans="3:5" ht="15">
      <c r="C50" s="98"/>
      <c r="D50" s="98"/>
      <c r="E50" s="98"/>
    </row>
    <row r="51" spans="3:5" ht="15">
      <c r="C51" s="98"/>
      <c r="D51" s="98"/>
      <c r="E51" s="98"/>
    </row>
  </sheetData>
  <sheetProtection/>
  <mergeCells count="2">
    <mergeCell ref="A6:E6"/>
    <mergeCell ref="B9:B10"/>
  </mergeCells>
  <printOptions/>
  <pageMargins left="0.67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1"/>
  <sheetViews>
    <sheetView zoomScale="80" zoomScaleNormal="80" zoomScalePageLayoutView="0" workbookViewId="0" topLeftCell="A1">
      <selection activeCell="H41" sqref="H41"/>
    </sheetView>
  </sheetViews>
  <sheetFormatPr defaultColWidth="9.140625" defaultRowHeight="12.75"/>
  <cols>
    <col min="1" max="1" width="7.57421875" style="11" customWidth="1"/>
    <col min="2" max="3" width="10.28125" style="11" customWidth="1"/>
    <col min="4" max="4" width="76.8515625" style="11" customWidth="1"/>
    <col min="5" max="7" width="16.7109375" style="23" customWidth="1"/>
    <col min="8" max="8" width="11.00390625" style="241" customWidth="1"/>
    <col min="9" max="9" width="9.140625" style="11" customWidth="1"/>
    <col min="10" max="10" width="24.8515625" style="11" customWidth="1"/>
    <col min="11" max="16384" width="9.140625" style="11" customWidth="1"/>
  </cols>
  <sheetData>
    <row r="1" spans="1:8" ht="21.75" customHeight="1">
      <c r="A1" s="309" t="s">
        <v>23</v>
      </c>
      <c r="B1" s="310"/>
      <c r="C1" s="310"/>
      <c r="D1" s="8"/>
      <c r="E1" s="9"/>
      <c r="F1" s="9"/>
      <c r="G1" s="10"/>
      <c r="H1" s="214"/>
    </row>
    <row r="2" spans="1:8" ht="12.75" customHeight="1">
      <c r="A2" s="12"/>
      <c r="B2" s="13"/>
      <c r="C2" s="12"/>
      <c r="D2" s="14"/>
      <c r="E2" s="9"/>
      <c r="F2" s="9"/>
      <c r="G2" s="9"/>
      <c r="H2" s="215"/>
    </row>
    <row r="3" spans="1:8" s="13" customFormat="1" ht="24" customHeight="1">
      <c r="A3" s="311" t="s">
        <v>24</v>
      </c>
      <c r="B3" s="311"/>
      <c r="C3" s="311"/>
      <c r="D3" s="310"/>
      <c r="E3" s="310"/>
      <c r="F3" s="205"/>
      <c r="G3" s="205"/>
      <c r="H3" s="216"/>
    </row>
    <row r="4" spans="1:8" s="13" customFormat="1" ht="15" customHeight="1" thickBot="1">
      <c r="A4" s="15"/>
      <c r="B4" s="15"/>
      <c r="C4" s="15"/>
      <c r="D4" s="15"/>
      <c r="E4" s="16"/>
      <c r="F4" s="16"/>
      <c r="G4" s="17" t="s">
        <v>3</v>
      </c>
      <c r="H4" s="217"/>
    </row>
    <row r="5" spans="1:8" ht="15.75">
      <c r="A5" s="206" t="s">
        <v>25</v>
      </c>
      <c r="B5" s="206" t="s">
        <v>26</v>
      </c>
      <c r="C5" s="206" t="s">
        <v>27</v>
      </c>
      <c r="D5" s="207" t="s">
        <v>28</v>
      </c>
      <c r="E5" s="208" t="s">
        <v>29</v>
      </c>
      <c r="F5" s="208" t="s">
        <v>29</v>
      </c>
      <c r="G5" s="208" t="s">
        <v>7</v>
      </c>
      <c r="H5" s="218" t="s">
        <v>30</v>
      </c>
    </row>
    <row r="6" spans="1:8" ht="15.75" customHeight="1" thickBot="1">
      <c r="A6" s="209"/>
      <c r="B6" s="209"/>
      <c r="C6" s="209"/>
      <c r="D6" s="210"/>
      <c r="E6" s="211" t="s">
        <v>31</v>
      </c>
      <c r="F6" s="211" t="s">
        <v>32</v>
      </c>
      <c r="G6" s="212" t="s">
        <v>33</v>
      </c>
      <c r="H6" s="219" t="s">
        <v>34</v>
      </c>
    </row>
    <row r="7" spans="1:8" ht="16.5" customHeight="1" thickTop="1">
      <c r="A7" s="18">
        <v>10</v>
      </c>
      <c r="B7" s="18"/>
      <c r="C7" s="18"/>
      <c r="D7" s="19" t="s">
        <v>35</v>
      </c>
      <c r="E7" s="20"/>
      <c r="F7" s="20"/>
      <c r="G7" s="20"/>
      <c r="H7" s="220"/>
    </row>
    <row r="8" spans="1:8" ht="15" customHeight="1">
      <c r="A8" s="18"/>
      <c r="B8" s="18"/>
      <c r="C8" s="18"/>
      <c r="D8" s="19"/>
      <c r="E8" s="20"/>
      <c r="F8" s="20"/>
      <c r="G8" s="20"/>
      <c r="H8" s="220"/>
    </row>
    <row r="9" spans="1:8" ht="15" customHeight="1" hidden="1">
      <c r="A9" s="21"/>
      <c r="B9" s="21"/>
      <c r="C9" s="21">
        <v>1344</v>
      </c>
      <c r="D9" s="21" t="s">
        <v>36</v>
      </c>
      <c r="E9" s="22">
        <v>0</v>
      </c>
      <c r="F9" s="22">
        <v>0</v>
      </c>
      <c r="G9" s="22"/>
      <c r="H9" s="221" t="e">
        <f>(#REF!/F9)*100</f>
        <v>#REF!</v>
      </c>
    </row>
    <row r="10" spans="1:9" ht="15">
      <c r="A10" s="21"/>
      <c r="B10" s="21"/>
      <c r="C10" s="21">
        <v>1361</v>
      </c>
      <c r="D10" s="21" t="s">
        <v>37</v>
      </c>
      <c r="E10" s="22">
        <v>5</v>
      </c>
      <c r="F10" s="22">
        <v>5</v>
      </c>
      <c r="G10" s="22">
        <v>5</v>
      </c>
      <c r="H10" s="221">
        <f>(G10/F10)*100</f>
        <v>100</v>
      </c>
      <c r="I10" s="23"/>
    </row>
    <row r="11" spans="1:8" ht="15">
      <c r="A11" s="24">
        <v>34053</v>
      </c>
      <c r="B11" s="24"/>
      <c r="C11" s="24">
        <v>4116</v>
      </c>
      <c r="D11" s="21" t="s">
        <v>38</v>
      </c>
      <c r="E11" s="25">
        <v>0</v>
      </c>
      <c r="F11" s="25">
        <v>0</v>
      </c>
      <c r="G11" s="25">
        <v>32</v>
      </c>
      <c r="H11" s="221" t="e">
        <f aca="true" t="shared" si="0" ref="H11:H58">(G11/F11)*100</f>
        <v>#DIV/0!</v>
      </c>
    </row>
    <row r="12" spans="1:8" ht="15">
      <c r="A12" s="24">
        <v>34070</v>
      </c>
      <c r="B12" s="24"/>
      <c r="C12" s="24">
        <v>4116</v>
      </c>
      <c r="D12" s="21" t="s">
        <v>39</v>
      </c>
      <c r="E12" s="25">
        <v>0</v>
      </c>
      <c r="F12" s="25">
        <v>5</v>
      </c>
      <c r="G12" s="25">
        <v>5</v>
      </c>
      <c r="H12" s="221">
        <f t="shared" si="0"/>
        <v>100</v>
      </c>
    </row>
    <row r="13" spans="1:8" ht="15">
      <c r="A13" s="24">
        <v>33123</v>
      </c>
      <c r="B13" s="24"/>
      <c r="C13" s="24">
        <v>4116</v>
      </c>
      <c r="D13" s="21" t="s">
        <v>40</v>
      </c>
      <c r="E13" s="22">
        <v>0</v>
      </c>
      <c r="F13" s="22">
        <v>1322.6</v>
      </c>
      <c r="G13" s="22">
        <v>1322.5</v>
      </c>
      <c r="H13" s="221">
        <f t="shared" si="0"/>
        <v>99.99243913503706</v>
      </c>
    </row>
    <row r="14" spans="1:8" ht="15">
      <c r="A14" s="24"/>
      <c r="B14" s="24"/>
      <c r="C14" s="24">
        <v>4121</v>
      </c>
      <c r="D14" s="24" t="s">
        <v>41</v>
      </c>
      <c r="E14" s="25">
        <v>0</v>
      </c>
      <c r="F14" s="25">
        <v>0</v>
      </c>
      <c r="G14" s="22">
        <v>300</v>
      </c>
      <c r="H14" s="221" t="e">
        <f t="shared" si="0"/>
        <v>#DIV/0!</v>
      </c>
    </row>
    <row r="15" spans="1:9" ht="15">
      <c r="A15" s="24">
        <v>341</v>
      </c>
      <c r="B15" s="24"/>
      <c r="C15" s="24">
        <v>4122</v>
      </c>
      <c r="D15" s="24" t="s">
        <v>42</v>
      </c>
      <c r="E15" s="26">
        <v>0</v>
      </c>
      <c r="F15" s="26">
        <v>200</v>
      </c>
      <c r="G15" s="25">
        <v>200</v>
      </c>
      <c r="H15" s="221">
        <f t="shared" si="0"/>
        <v>100</v>
      </c>
      <c r="I15" s="23"/>
    </row>
    <row r="16" spans="1:8" ht="15">
      <c r="A16" s="24">
        <v>379</v>
      </c>
      <c r="B16" s="24"/>
      <c r="C16" s="24">
        <v>4122</v>
      </c>
      <c r="D16" s="24" t="s">
        <v>43</v>
      </c>
      <c r="E16" s="26">
        <v>0</v>
      </c>
      <c r="F16" s="26">
        <v>31</v>
      </c>
      <c r="G16" s="25">
        <v>51</v>
      </c>
      <c r="H16" s="221">
        <f t="shared" si="0"/>
        <v>164.51612903225808</v>
      </c>
    </row>
    <row r="17" spans="1:8" ht="15" hidden="1">
      <c r="A17" s="24"/>
      <c r="B17" s="24"/>
      <c r="C17" s="24"/>
      <c r="D17" s="24"/>
      <c r="E17" s="26"/>
      <c r="F17" s="26"/>
      <c r="G17" s="25"/>
      <c r="H17" s="221" t="e">
        <f t="shared" si="0"/>
        <v>#DIV/0!</v>
      </c>
    </row>
    <row r="18" spans="1:8" ht="15">
      <c r="A18" s="24">
        <v>33030</v>
      </c>
      <c r="B18" s="24"/>
      <c r="C18" s="24">
        <v>4122</v>
      </c>
      <c r="D18" s="24" t="s">
        <v>44</v>
      </c>
      <c r="E18" s="26">
        <v>0</v>
      </c>
      <c r="F18" s="26">
        <v>468.3</v>
      </c>
      <c r="G18" s="25">
        <v>468.2</v>
      </c>
      <c r="H18" s="221">
        <f t="shared" si="0"/>
        <v>99.97864616698698</v>
      </c>
    </row>
    <row r="19" spans="1:8" ht="15" hidden="1">
      <c r="A19" s="24">
        <v>33926</v>
      </c>
      <c r="B19" s="24"/>
      <c r="C19" s="24">
        <v>4222</v>
      </c>
      <c r="D19" s="24" t="s">
        <v>45</v>
      </c>
      <c r="E19" s="26"/>
      <c r="F19" s="26"/>
      <c r="G19" s="25"/>
      <c r="H19" s="221" t="e">
        <f t="shared" si="0"/>
        <v>#DIV/0!</v>
      </c>
    </row>
    <row r="20" spans="1:8" ht="15">
      <c r="A20" s="24"/>
      <c r="B20" s="24">
        <v>2143</v>
      </c>
      <c r="C20" s="24">
        <v>2111</v>
      </c>
      <c r="D20" s="24" t="s">
        <v>46</v>
      </c>
      <c r="E20" s="25">
        <v>400</v>
      </c>
      <c r="F20" s="25">
        <v>400</v>
      </c>
      <c r="G20" s="25">
        <v>196.7</v>
      </c>
      <c r="H20" s="221">
        <f t="shared" si="0"/>
        <v>49.175</v>
      </c>
    </row>
    <row r="21" spans="1:8" ht="15">
      <c r="A21" s="24"/>
      <c r="B21" s="24">
        <v>2143</v>
      </c>
      <c r="C21" s="24">
        <v>2112</v>
      </c>
      <c r="D21" s="24" t="s">
        <v>47</v>
      </c>
      <c r="E21" s="25">
        <v>200</v>
      </c>
      <c r="F21" s="25">
        <v>200</v>
      </c>
      <c r="G21" s="25">
        <v>97.5</v>
      </c>
      <c r="H21" s="221">
        <f t="shared" si="0"/>
        <v>48.75</v>
      </c>
    </row>
    <row r="22" spans="1:8" ht="15">
      <c r="A22" s="24"/>
      <c r="B22" s="24">
        <v>2143</v>
      </c>
      <c r="C22" s="24">
        <v>2212</v>
      </c>
      <c r="D22" s="24" t="s">
        <v>48</v>
      </c>
      <c r="E22" s="25">
        <v>120</v>
      </c>
      <c r="F22" s="25">
        <v>120</v>
      </c>
      <c r="G22" s="25">
        <v>60</v>
      </c>
      <c r="H22" s="221">
        <f t="shared" si="0"/>
        <v>50</v>
      </c>
    </row>
    <row r="23" spans="1:8" ht="15" hidden="1">
      <c r="A23" s="24"/>
      <c r="B23" s="24">
        <v>2143</v>
      </c>
      <c r="C23" s="24">
        <v>2324</v>
      </c>
      <c r="D23" s="24" t="s">
        <v>49</v>
      </c>
      <c r="E23" s="25">
        <v>0</v>
      </c>
      <c r="F23" s="25">
        <v>0</v>
      </c>
      <c r="G23" s="25"/>
      <c r="H23" s="221" t="e">
        <f t="shared" si="0"/>
        <v>#DIV/0!</v>
      </c>
    </row>
    <row r="24" spans="1:8" ht="15" hidden="1">
      <c r="A24" s="24"/>
      <c r="B24" s="24">
        <v>2143</v>
      </c>
      <c r="C24" s="24">
        <v>2329</v>
      </c>
      <c r="D24" s="24" t="s">
        <v>50</v>
      </c>
      <c r="E24" s="25"/>
      <c r="F24" s="25"/>
      <c r="G24" s="25"/>
      <c r="H24" s="221" t="e">
        <f t="shared" si="0"/>
        <v>#DIV/0!</v>
      </c>
    </row>
    <row r="25" spans="1:8" ht="15" hidden="1">
      <c r="A25" s="24"/>
      <c r="B25" s="24">
        <v>3111</v>
      </c>
      <c r="C25" s="24">
        <v>2122</v>
      </c>
      <c r="D25" s="24" t="s">
        <v>51</v>
      </c>
      <c r="E25" s="25">
        <v>0</v>
      </c>
      <c r="F25" s="25">
        <v>0</v>
      </c>
      <c r="G25" s="25"/>
      <c r="H25" s="221" t="e">
        <f t="shared" si="0"/>
        <v>#DIV/0!</v>
      </c>
    </row>
    <row r="26" spans="1:8" ht="15" hidden="1">
      <c r="A26" s="24"/>
      <c r="B26" s="24">
        <v>3113</v>
      </c>
      <c r="C26" s="24">
        <v>2119</v>
      </c>
      <c r="D26" s="24" t="s">
        <v>52</v>
      </c>
      <c r="E26" s="25">
        <v>0</v>
      </c>
      <c r="F26" s="25">
        <v>0</v>
      </c>
      <c r="G26" s="25"/>
      <c r="H26" s="221" t="e">
        <f t="shared" si="0"/>
        <v>#DIV/0!</v>
      </c>
    </row>
    <row r="27" spans="1:8" ht="15">
      <c r="A27" s="24"/>
      <c r="B27" s="24">
        <v>3113</v>
      </c>
      <c r="C27" s="24">
        <v>2122</v>
      </c>
      <c r="D27" s="24" t="s">
        <v>53</v>
      </c>
      <c r="E27" s="25">
        <v>1000</v>
      </c>
      <c r="F27" s="25">
        <v>1000</v>
      </c>
      <c r="G27" s="25">
        <v>1000</v>
      </c>
      <c r="H27" s="221">
        <f t="shared" si="0"/>
        <v>100</v>
      </c>
    </row>
    <row r="28" spans="1:9" ht="15">
      <c r="A28" s="24"/>
      <c r="B28" s="24">
        <v>3313</v>
      </c>
      <c r="C28" s="24">
        <v>2132</v>
      </c>
      <c r="D28" s="24" t="s">
        <v>54</v>
      </c>
      <c r="E28" s="25">
        <v>331.8</v>
      </c>
      <c r="F28" s="25">
        <v>331.8</v>
      </c>
      <c r="G28" s="25">
        <v>0</v>
      </c>
      <c r="H28" s="221">
        <f t="shared" si="0"/>
        <v>0</v>
      </c>
      <c r="I28" s="23"/>
    </row>
    <row r="29" spans="1:8" ht="15">
      <c r="A29" s="21"/>
      <c r="B29" s="21">
        <v>3313</v>
      </c>
      <c r="C29" s="21">
        <v>2133</v>
      </c>
      <c r="D29" s="21" t="s">
        <v>55</v>
      </c>
      <c r="E29" s="22">
        <v>18.2</v>
      </c>
      <c r="F29" s="22">
        <v>18.2</v>
      </c>
      <c r="G29" s="25">
        <v>0</v>
      </c>
      <c r="H29" s="221">
        <f t="shared" si="0"/>
        <v>0</v>
      </c>
    </row>
    <row r="30" spans="1:8" ht="15">
      <c r="A30" s="21"/>
      <c r="B30" s="21">
        <v>3313</v>
      </c>
      <c r="C30" s="21">
        <v>2324</v>
      </c>
      <c r="D30" s="21" t="s">
        <v>56</v>
      </c>
      <c r="E30" s="22">
        <v>0</v>
      </c>
      <c r="F30" s="22">
        <v>0</v>
      </c>
      <c r="G30" s="22">
        <v>96.8</v>
      </c>
      <c r="H30" s="221" t="e">
        <f t="shared" si="0"/>
        <v>#DIV/0!</v>
      </c>
    </row>
    <row r="31" spans="1:8" ht="15" hidden="1">
      <c r="A31" s="21"/>
      <c r="B31" s="21">
        <v>3392</v>
      </c>
      <c r="C31" s="21">
        <v>2329</v>
      </c>
      <c r="D31" s="21" t="s">
        <v>57</v>
      </c>
      <c r="E31" s="22"/>
      <c r="F31" s="22"/>
      <c r="G31" s="22"/>
      <c r="H31" s="221" t="e">
        <f t="shared" si="0"/>
        <v>#DIV/0!</v>
      </c>
    </row>
    <row r="32" spans="1:8" ht="15" hidden="1">
      <c r="A32" s="24"/>
      <c r="B32" s="24">
        <v>3314</v>
      </c>
      <c r="C32" s="24">
        <v>2229</v>
      </c>
      <c r="D32" s="24" t="s">
        <v>58</v>
      </c>
      <c r="E32" s="25"/>
      <c r="F32" s="25"/>
      <c r="G32" s="25"/>
      <c r="H32" s="221" t="e">
        <f t="shared" si="0"/>
        <v>#DIV/0!</v>
      </c>
    </row>
    <row r="33" spans="1:8" ht="15" hidden="1">
      <c r="A33" s="24"/>
      <c r="B33" s="24">
        <v>3315</v>
      </c>
      <c r="C33" s="24">
        <v>2322</v>
      </c>
      <c r="D33" s="24" t="s">
        <v>59</v>
      </c>
      <c r="E33" s="25"/>
      <c r="F33" s="25"/>
      <c r="G33" s="25"/>
      <c r="H33" s="221" t="e">
        <f t="shared" si="0"/>
        <v>#DIV/0!</v>
      </c>
    </row>
    <row r="34" spans="1:8" ht="15">
      <c r="A34" s="24"/>
      <c r="B34" s="24">
        <v>3319</v>
      </c>
      <c r="C34" s="24">
        <v>2324</v>
      </c>
      <c r="D34" s="24" t="s">
        <v>60</v>
      </c>
      <c r="E34" s="25">
        <v>0</v>
      </c>
      <c r="F34" s="25">
        <v>0</v>
      </c>
      <c r="G34" s="25">
        <v>5.8</v>
      </c>
      <c r="H34" s="221" t="e">
        <f t="shared" si="0"/>
        <v>#DIV/0!</v>
      </c>
    </row>
    <row r="35" spans="1:9" ht="15" customHeight="1" hidden="1">
      <c r="A35" s="21"/>
      <c r="B35" s="21">
        <v>3319</v>
      </c>
      <c r="C35" s="21">
        <v>2329</v>
      </c>
      <c r="D35" s="21" t="s">
        <v>61</v>
      </c>
      <c r="E35" s="22"/>
      <c r="F35" s="22"/>
      <c r="G35" s="22"/>
      <c r="H35" s="221" t="e">
        <f t="shared" si="0"/>
        <v>#DIV/0!</v>
      </c>
      <c r="I35" s="23"/>
    </row>
    <row r="36" spans="1:8" ht="15">
      <c r="A36" s="24"/>
      <c r="B36" s="24">
        <v>3326</v>
      </c>
      <c r="C36" s="24">
        <v>2212</v>
      </c>
      <c r="D36" s="24" t="s">
        <v>62</v>
      </c>
      <c r="E36" s="25">
        <v>20</v>
      </c>
      <c r="F36" s="25">
        <v>20</v>
      </c>
      <c r="G36" s="25">
        <v>6</v>
      </c>
      <c r="H36" s="221">
        <f t="shared" si="0"/>
        <v>30</v>
      </c>
    </row>
    <row r="37" spans="1:8" ht="15">
      <c r="A37" s="24"/>
      <c r="B37" s="24">
        <v>3326</v>
      </c>
      <c r="C37" s="24">
        <v>2324</v>
      </c>
      <c r="D37" s="24" t="s">
        <v>63</v>
      </c>
      <c r="E37" s="25">
        <v>2</v>
      </c>
      <c r="F37" s="25">
        <v>2</v>
      </c>
      <c r="G37" s="25">
        <v>2</v>
      </c>
      <c r="H37" s="221">
        <f t="shared" si="0"/>
        <v>100</v>
      </c>
    </row>
    <row r="38" spans="1:8" ht="15">
      <c r="A38" s="24"/>
      <c r="B38" s="24">
        <v>3399</v>
      </c>
      <c r="C38" s="24">
        <v>2111</v>
      </c>
      <c r="D38" s="24" t="s">
        <v>64</v>
      </c>
      <c r="E38" s="25">
        <v>200</v>
      </c>
      <c r="F38" s="25">
        <v>200</v>
      </c>
      <c r="G38" s="25">
        <v>203.4</v>
      </c>
      <c r="H38" s="221">
        <f t="shared" si="0"/>
        <v>101.70000000000002</v>
      </c>
    </row>
    <row r="39" spans="1:8" ht="15">
      <c r="A39" s="24"/>
      <c r="B39" s="24">
        <v>3399</v>
      </c>
      <c r="C39" s="24">
        <v>2112</v>
      </c>
      <c r="D39" s="24" t="s">
        <v>65</v>
      </c>
      <c r="E39" s="25">
        <v>0</v>
      </c>
      <c r="F39" s="25">
        <v>0</v>
      </c>
      <c r="G39" s="25">
        <v>3.6</v>
      </c>
      <c r="H39" s="221" t="e">
        <f t="shared" si="0"/>
        <v>#DIV/0!</v>
      </c>
    </row>
    <row r="40" spans="1:8" ht="15">
      <c r="A40" s="24"/>
      <c r="B40" s="24">
        <v>3399</v>
      </c>
      <c r="C40" s="24">
        <v>2133</v>
      </c>
      <c r="D40" s="24" t="s">
        <v>66</v>
      </c>
      <c r="E40" s="25">
        <v>50</v>
      </c>
      <c r="F40" s="25">
        <v>50</v>
      </c>
      <c r="G40" s="25">
        <v>0</v>
      </c>
      <c r="H40" s="221">
        <f t="shared" si="0"/>
        <v>0</v>
      </c>
    </row>
    <row r="41" spans="1:9" ht="15">
      <c r="A41" s="24"/>
      <c r="B41" s="24">
        <v>3399</v>
      </c>
      <c r="C41" s="24">
        <v>2321</v>
      </c>
      <c r="D41" s="24" t="s">
        <v>67</v>
      </c>
      <c r="E41" s="25">
        <v>120</v>
      </c>
      <c r="F41" s="25">
        <v>60</v>
      </c>
      <c r="G41" s="25">
        <v>0</v>
      </c>
      <c r="H41" s="221">
        <f t="shared" si="0"/>
        <v>0</v>
      </c>
      <c r="I41" s="23"/>
    </row>
    <row r="42" spans="1:8" ht="15">
      <c r="A42" s="24"/>
      <c r="B42" s="24">
        <v>3399</v>
      </c>
      <c r="C42" s="24">
        <v>2324</v>
      </c>
      <c r="D42" s="24" t="s">
        <v>68</v>
      </c>
      <c r="E42" s="25">
        <v>0</v>
      </c>
      <c r="F42" s="25">
        <v>60</v>
      </c>
      <c r="G42" s="25">
        <v>61</v>
      </c>
      <c r="H42" s="221">
        <f t="shared" si="0"/>
        <v>101.66666666666666</v>
      </c>
    </row>
    <row r="43" spans="1:8" ht="15" hidden="1">
      <c r="A43" s="21"/>
      <c r="B43" s="21">
        <v>3392</v>
      </c>
      <c r="C43" s="21">
        <v>2324</v>
      </c>
      <c r="D43" s="21" t="s">
        <v>69</v>
      </c>
      <c r="E43" s="25"/>
      <c r="F43" s="25"/>
      <c r="G43" s="25"/>
      <c r="H43" s="221" t="e">
        <f t="shared" si="0"/>
        <v>#DIV/0!</v>
      </c>
    </row>
    <row r="44" spans="1:8" ht="15" hidden="1">
      <c r="A44" s="21"/>
      <c r="B44" s="21">
        <v>3412</v>
      </c>
      <c r="C44" s="21">
        <v>2122</v>
      </c>
      <c r="D44" s="21" t="s">
        <v>70</v>
      </c>
      <c r="E44" s="25"/>
      <c r="F44" s="25"/>
      <c r="G44" s="25"/>
      <c r="H44" s="221" t="e">
        <f t="shared" si="0"/>
        <v>#DIV/0!</v>
      </c>
    </row>
    <row r="45" spans="1:8" ht="15" hidden="1">
      <c r="A45" s="24"/>
      <c r="B45" s="24">
        <v>3412</v>
      </c>
      <c r="C45" s="24">
        <v>2324</v>
      </c>
      <c r="D45" s="24" t="s">
        <v>71</v>
      </c>
      <c r="E45" s="25"/>
      <c r="F45" s="25"/>
      <c r="G45" s="25"/>
      <c r="H45" s="221" t="e">
        <f t="shared" si="0"/>
        <v>#DIV/0!</v>
      </c>
    </row>
    <row r="46" spans="1:8" ht="15" hidden="1">
      <c r="A46" s="24"/>
      <c r="B46" s="24">
        <v>3412</v>
      </c>
      <c r="C46" s="24">
        <v>2329</v>
      </c>
      <c r="D46" s="24" t="s">
        <v>72</v>
      </c>
      <c r="E46" s="25"/>
      <c r="F46" s="25"/>
      <c r="G46" s="25"/>
      <c r="H46" s="221" t="e">
        <f t="shared" si="0"/>
        <v>#DIV/0!</v>
      </c>
    </row>
    <row r="47" spans="1:8" ht="15">
      <c r="A47" s="24"/>
      <c r="B47" s="24">
        <v>3412</v>
      </c>
      <c r="C47" s="24">
        <v>2132</v>
      </c>
      <c r="D47" s="24" t="s">
        <v>73</v>
      </c>
      <c r="E47" s="25">
        <v>579.6</v>
      </c>
      <c r="F47" s="25">
        <v>579.6</v>
      </c>
      <c r="G47" s="22">
        <v>247.1</v>
      </c>
      <c r="H47" s="221">
        <f t="shared" si="0"/>
        <v>42.63285024154589</v>
      </c>
    </row>
    <row r="48" spans="1:9" ht="15">
      <c r="A48" s="24"/>
      <c r="B48" s="24">
        <v>3412</v>
      </c>
      <c r="C48" s="24">
        <v>2133</v>
      </c>
      <c r="D48" s="24" t="s">
        <v>74</v>
      </c>
      <c r="E48" s="25">
        <v>2.4</v>
      </c>
      <c r="F48" s="25">
        <v>2.4</v>
      </c>
      <c r="G48" s="22">
        <v>2.9</v>
      </c>
      <c r="H48" s="221">
        <f t="shared" si="0"/>
        <v>120.83333333333333</v>
      </c>
      <c r="I48" s="23"/>
    </row>
    <row r="49" spans="1:8" ht="15" hidden="1">
      <c r="A49" s="24"/>
      <c r="B49" s="24">
        <v>3412</v>
      </c>
      <c r="C49" s="24">
        <v>2229</v>
      </c>
      <c r="D49" s="24" t="s">
        <v>75</v>
      </c>
      <c r="E49" s="25"/>
      <c r="F49" s="25"/>
      <c r="G49" s="22"/>
      <c r="H49" s="221" t="e">
        <f t="shared" si="0"/>
        <v>#DIV/0!</v>
      </c>
    </row>
    <row r="50" spans="1:8" ht="15">
      <c r="A50" s="24"/>
      <c r="B50" s="24">
        <v>3412</v>
      </c>
      <c r="C50" s="24">
        <v>2324</v>
      </c>
      <c r="D50" s="24" t="s">
        <v>76</v>
      </c>
      <c r="E50" s="25">
        <v>0</v>
      </c>
      <c r="F50" s="25">
        <v>0</v>
      </c>
      <c r="G50" s="25">
        <v>62.3</v>
      </c>
      <c r="H50" s="221" t="e">
        <f t="shared" si="0"/>
        <v>#DIV/0!</v>
      </c>
    </row>
    <row r="51" spans="1:8" ht="15" hidden="1">
      <c r="A51" s="24"/>
      <c r="B51" s="24">
        <v>3419</v>
      </c>
      <c r="C51" s="24">
        <v>2132</v>
      </c>
      <c r="D51" s="24" t="s">
        <v>77</v>
      </c>
      <c r="E51" s="25"/>
      <c r="F51" s="25"/>
      <c r="G51" s="25"/>
      <c r="H51" s="221" t="e">
        <f t="shared" si="0"/>
        <v>#DIV/0!</v>
      </c>
    </row>
    <row r="52" spans="1:8" ht="15">
      <c r="A52" s="24"/>
      <c r="B52" s="24">
        <v>3419</v>
      </c>
      <c r="C52" s="24">
        <v>2229</v>
      </c>
      <c r="D52" s="24" t="s">
        <v>78</v>
      </c>
      <c r="E52" s="25">
        <v>0</v>
      </c>
      <c r="F52" s="25">
        <v>0</v>
      </c>
      <c r="G52" s="25">
        <v>30.7</v>
      </c>
      <c r="H52" s="221" t="e">
        <f t="shared" si="0"/>
        <v>#DIV/0!</v>
      </c>
    </row>
    <row r="53" spans="1:8" ht="15" hidden="1">
      <c r="A53" s="24"/>
      <c r="B53" s="24">
        <v>3421</v>
      </c>
      <c r="C53" s="24">
        <v>2132</v>
      </c>
      <c r="D53" s="24" t="s">
        <v>79</v>
      </c>
      <c r="E53" s="25"/>
      <c r="F53" s="25"/>
      <c r="G53" s="25"/>
      <c r="H53" s="221" t="e">
        <f t="shared" si="0"/>
        <v>#DIV/0!</v>
      </c>
    </row>
    <row r="54" spans="1:8" ht="15">
      <c r="A54" s="24"/>
      <c r="B54" s="24">
        <v>3421</v>
      </c>
      <c r="C54" s="24">
        <v>2229</v>
      </c>
      <c r="D54" s="24" t="s">
        <v>80</v>
      </c>
      <c r="E54" s="25">
        <v>0</v>
      </c>
      <c r="F54" s="25">
        <v>0</v>
      </c>
      <c r="G54" s="25">
        <v>7.3</v>
      </c>
      <c r="H54" s="221" t="e">
        <f t="shared" si="0"/>
        <v>#DIV/0!</v>
      </c>
    </row>
    <row r="55" spans="1:8" ht="15" hidden="1">
      <c r="A55" s="24"/>
      <c r="B55" s="24">
        <v>3421</v>
      </c>
      <c r="C55" s="24">
        <v>2324</v>
      </c>
      <c r="D55" s="24" t="s">
        <v>81</v>
      </c>
      <c r="E55" s="25"/>
      <c r="F55" s="25"/>
      <c r="G55" s="25"/>
      <c r="H55" s="221" t="e">
        <f t="shared" si="0"/>
        <v>#DIV/0!</v>
      </c>
    </row>
    <row r="56" spans="1:8" ht="15">
      <c r="A56" s="24"/>
      <c r="B56" s="24">
        <v>3429</v>
      </c>
      <c r="C56" s="24">
        <v>2229</v>
      </c>
      <c r="D56" s="24" t="s">
        <v>82</v>
      </c>
      <c r="E56" s="25">
        <v>0</v>
      </c>
      <c r="F56" s="25">
        <v>0</v>
      </c>
      <c r="G56" s="25">
        <v>7.5</v>
      </c>
      <c r="H56" s="221" t="e">
        <f t="shared" si="0"/>
        <v>#DIV/0!</v>
      </c>
    </row>
    <row r="57" spans="1:8" ht="15" hidden="1">
      <c r="A57" s="24"/>
      <c r="B57" s="24">
        <v>6171</v>
      </c>
      <c r="C57" s="24">
        <v>2212</v>
      </c>
      <c r="D57" s="24" t="s">
        <v>83</v>
      </c>
      <c r="E57" s="25"/>
      <c r="F57" s="25"/>
      <c r="G57" s="25"/>
      <c r="H57" s="221" t="e">
        <f t="shared" si="0"/>
        <v>#DIV/0!</v>
      </c>
    </row>
    <row r="58" spans="1:8" ht="15" customHeight="1">
      <c r="A58" s="21"/>
      <c r="B58" s="21">
        <v>6409</v>
      </c>
      <c r="C58" s="21">
        <v>2328</v>
      </c>
      <c r="D58" s="21" t="s">
        <v>84</v>
      </c>
      <c r="E58" s="22">
        <v>0</v>
      </c>
      <c r="F58" s="22">
        <v>0</v>
      </c>
      <c r="G58" s="22">
        <v>0</v>
      </c>
      <c r="H58" s="221" t="e">
        <f t="shared" si="0"/>
        <v>#DIV/0!</v>
      </c>
    </row>
    <row r="59" spans="1:8" ht="15" customHeight="1" thickBot="1">
      <c r="A59" s="27"/>
      <c r="B59" s="27"/>
      <c r="C59" s="27"/>
      <c r="D59" s="27"/>
      <c r="E59" s="28"/>
      <c r="F59" s="28"/>
      <c r="G59" s="28"/>
      <c r="H59" s="222"/>
    </row>
    <row r="60" spans="1:8" s="32" customFormat="1" ht="21.75" customHeight="1" thickBot="1" thickTop="1">
      <c r="A60" s="29"/>
      <c r="B60" s="29"/>
      <c r="C60" s="29"/>
      <c r="D60" s="30" t="s">
        <v>85</v>
      </c>
      <c r="E60" s="31">
        <f>SUM(E9:E58)</f>
        <v>3049</v>
      </c>
      <c r="F60" s="31">
        <f>SUM(F9:F58)</f>
        <v>5075.9</v>
      </c>
      <c r="G60" s="31">
        <f>SUM(G9:G58)</f>
        <v>4474.3</v>
      </c>
      <c r="H60" s="223">
        <f>(G60/F60)*100</f>
        <v>88.14791465552908</v>
      </c>
    </row>
    <row r="61" spans="1:8" ht="15" customHeight="1">
      <c r="A61" s="32"/>
      <c r="B61" s="32"/>
      <c r="C61" s="32"/>
      <c r="D61" s="32"/>
      <c r="E61" s="33"/>
      <c r="F61" s="33"/>
      <c r="G61" s="33"/>
      <c r="H61" s="224"/>
    </row>
    <row r="62" spans="1:8" ht="15" customHeight="1">
      <c r="A62" s="32"/>
      <c r="B62" s="32"/>
      <c r="C62" s="32"/>
      <c r="D62" s="32"/>
      <c r="E62" s="33"/>
      <c r="F62" s="33"/>
      <c r="G62" s="33"/>
      <c r="H62" s="224"/>
    </row>
    <row r="63" spans="1:8" ht="15" customHeight="1" thickBot="1">
      <c r="A63" s="32"/>
      <c r="B63" s="32"/>
      <c r="C63" s="32"/>
      <c r="D63" s="32"/>
      <c r="E63" s="33"/>
      <c r="F63" s="33"/>
      <c r="G63" s="33"/>
      <c r="H63" s="224"/>
    </row>
    <row r="64" spans="1:8" ht="15.75">
      <c r="A64" s="206" t="s">
        <v>25</v>
      </c>
      <c r="B64" s="206" t="s">
        <v>26</v>
      </c>
      <c r="C64" s="206" t="s">
        <v>27</v>
      </c>
      <c r="D64" s="207" t="s">
        <v>28</v>
      </c>
      <c r="E64" s="208" t="s">
        <v>29</v>
      </c>
      <c r="F64" s="208" t="s">
        <v>29</v>
      </c>
      <c r="G64" s="208" t="s">
        <v>7</v>
      </c>
      <c r="H64" s="218" t="s">
        <v>30</v>
      </c>
    </row>
    <row r="65" spans="1:8" ht="15.75" customHeight="1" thickBot="1">
      <c r="A65" s="209"/>
      <c r="B65" s="209"/>
      <c r="C65" s="209"/>
      <c r="D65" s="210"/>
      <c r="E65" s="211" t="s">
        <v>31</v>
      </c>
      <c r="F65" s="211" t="s">
        <v>32</v>
      </c>
      <c r="G65" s="212" t="s">
        <v>33</v>
      </c>
      <c r="H65" s="219" t="s">
        <v>34</v>
      </c>
    </row>
    <row r="66" spans="1:8" ht="15.75" customHeight="1" thickTop="1">
      <c r="A66" s="34">
        <v>20</v>
      </c>
      <c r="B66" s="18"/>
      <c r="C66" s="18"/>
      <c r="D66" s="19" t="s">
        <v>86</v>
      </c>
      <c r="E66" s="20"/>
      <c r="F66" s="20"/>
      <c r="G66" s="20"/>
      <c r="H66" s="220"/>
    </row>
    <row r="67" spans="1:8" ht="15.75" customHeight="1">
      <c r="A67" s="34"/>
      <c r="B67" s="18"/>
      <c r="C67" s="18"/>
      <c r="D67" s="19"/>
      <c r="E67" s="20"/>
      <c r="F67" s="20"/>
      <c r="G67" s="20"/>
      <c r="H67" s="220"/>
    </row>
    <row r="68" spans="1:8" ht="15.75" customHeight="1" hidden="1">
      <c r="A68" s="34"/>
      <c r="B68" s="18"/>
      <c r="C68" s="35">
        <v>2420</v>
      </c>
      <c r="D68" s="36" t="s">
        <v>87</v>
      </c>
      <c r="E68" s="22">
        <v>0</v>
      </c>
      <c r="F68" s="22">
        <v>0</v>
      </c>
      <c r="G68" s="22"/>
      <c r="H68" s="221" t="e">
        <f>(#REF!/F68)*100</f>
        <v>#REF!</v>
      </c>
    </row>
    <row r="69" spans="1:8" ht="15.75" customHeight="1">
      <c r="A69" s="34"/>
      <c r="B69" s="18"/>
      <c r="C69" s="35">
        <v>4113</v>
      </c>
      <c r="D69" s="36" t="s">
        <v>88</v>
      </c>
      <c r="E69" s="22">
        <v>0</v>
      </c>
      <c r="F69" s="22">
        <v>99.5</v>
      </c>
      <c r="G69" s="22">
        <v>0</v>
      </c>
      <c r="H69" s="221">
        <f aca="true" t="shared" si="1" ref="H69:H101">(G69/F69)*100</f>
        <v>0</v>
      </c>
    </row>
    <row r="70" spans="1:8" ht="15.75">
      <c r="A70" s="37">
        <v>14018</v>
      </c>
      <c r="B70" s="18"/>
      <c r="C70" s="38">
        <v>4116</v>
      </c>
      <c r="D70" s="39" t="s">
        <v>89</v>
      </c>
      <c r="E70" s="22">
        <v>0</v>
      </c>
      <c r="F70" s="22">
        <v>640</v>
      </c>
      <c r="G70" s="25">
        <v>640</v>
      </c>
      <c r="H70" s="221">
        <f t="shared" si="1"/>
        <v>100</v>
      </c>
    </row>
    <row r="71" spans="1:10" ht="15.75">
      <c r="A71" s="37"/>
      <c r="B71" s="18"/>
      <c r="C71" s="38">
        <v>4116</v>
      </c>
      <c r="D71" s="21" t="s">
        <v>90</v>
      </c>
      <c r="E71" s="22">
        <v>90</v>
      </c>
      <c r="F71" s="22">
        <v>2650.1</v>
      </c>
      <c r="G71" s="25">
        <v>675.3</v>
      </c>
      <c r="H71" s="221">
        <f t="shared" si="1"/>
        <v>25.482057280857322</v>
      </c>
      <c r="J71" s="23"/>
    </row>
    <row r="72" spans="1:8" ht="15.75" customHeight="1">
      <c r="A72" s="37">
        <v>15374</v>
      </c>
      <c r="B72" s="18"/>
      <c r="C72" s="35">
        <v>4116</v>
      </c>
      <c r="D72" s="39" t="s">
        <v>91</v>
      </c>
      <c r="E72" s="20">
        <v>0</v>
      </c>
      <c r="F72" s="20">
        <v>1691</v>
      </c>
      <c r="G72" s="25">
        <v>0</v>
      </c>
      <c r="H72" s="221">
        <f t="shared" si="1"/>
        <v>0</v>
      </c>
    </row>
    <row r="73" spans="1:8" ht="15.75">
      <c r="A73" s="37"/>
      <c r="B73" s="18"/>
      <c r="C73" s="35">
        <v>4122</v>
      </c>
      <c r="D73" s="39" t="s">
        <v>92</v>
      </c>
      <c r="E73" s="22">
        <v>0</v>
      </c>
      <c r="F73" s="22">
        <v>20</v>
      </c>
      <c r="G73" s="25">
        <v>0</v>
      </c>
      <c r="H73" s="221">
        <f t="shared" si="1"/>
        <v>0</v>
      </c>
    </row>
    <row r="74" spans="1:10" ht="15.75" customHeight="1">
      <c r="A74" s="37">
        <v>71024</v>
      </c>
      <c r="B74" s="18"/>
      <c r="C74" s="35">
        <v>4213</v>
      </c>
      <c r="D74" s="40" t="s">
        <v>93</v>
      </c>
      <c r="E74" s="20">
        <v>100</v>
      </c>
      <c r="F74" s="20">
        <v>0</v>
      </c>
      <c r="G74" s="25">
        <v>0</v>
      </c>
      <c r="H74" s="221" t="e">
        <f t="shared" si="1"/>
        <v>#DIV/0!</v>
      </c>
      <c r="J74" s="23"/>
    </row>
    <row r="75" spans="1:9" ht="15.75" customHeight="1">
      <c r="A75" s="37">
        <v>81012</v>
      </c>
      <c r="B75" s="18"/>
      <c r="C75" s="35">
        <v>4213</v>
      </c>
      <c r="D75" s="40" t="s">
        <v>94</v>
      </c>
      <c r="E75" s="20">
        <v>140</v>
      </c>
      <c r="F75" s="20">
        <v>2.7</v>
      </c>
      <c r="G75" s="25">
        <v>2.7</v>
      </c>
      <c r="H75" s="221">
        <f t="shared" si="1"/>
        <v>100</v>
      </c>
      <c r="I75" s="23"/>
    </row>
    <row r="76" spans="1:8" ht="15.75" customHeight="1">
      <c r="A76" s="37">
        <v>1036</v>
      </c>
      <c r="B76" s="18"/>
      <c r="C76" s="35">
        <v>4213</v>
      </c>
      <c r="D76" s="40" t="s">
        <v>95</v>
      </c>
      <c r="E76" s="20">
        <v>35</v>
      </c>
      <c r="F76" s="20">
        <v>35</v>
      </c>
      <c r="G76" s="25">
        <v>0</v>
      </c>
      <c r="H76" s="221">
        <f t="shared" si="1"/>
        <v>0</v>
      </c>
    </row>
    <row r="77" spans="1:8" ht="15" customHeight="1">
      <c r="A77" s="41">
        <v>1037</v>
      </c>
      <c r="B77" s="21"/>
      <c r="C77" s="21">
        <v>4213</v>
      </c>
      <c r="D77" s="21" t="s">
        <v>96</v>
      </c>
      <c r="E77" s="22">
        <v>0</v>
      </c>
      <c r="F77" s="22">
        <v>115</v>
      </c>
      <c r="G77" s="22">
        <v>115</v>
      </c>
      <c r="H77" s="221">
        <f t="shared" si="1"/>
        <v>100</v>
      </c>
    </row>
    <row r="78" spans="1:8" ht="15.75" customHeight="1">
      <c r="A78" s="37">
        <v>1046</v>
      </c>
      <c r="B78" s="18"/>
      <c r="C78" s="35">
        <v>4213</v>
      </c>
      <c r="D78" s="40" t="s">
        <v>97</v>
      </c>
      <c r="E78" s="20">
        <v>51</v>
      </c>
      <c r="F78" s="20">
        <v>51</v>
      </c>
      <c r="G78" s="25">
        <v>0</v>
      </c>
      <c r="H78" s="221">
        <f t="shared" si="1"/>
        <v>0</v>
      </c>
    </row>
    <row r="79" spans="1:8" ht="15.75" customHeight="1">
      <c r="A79" s="37">
        <v>1047</v>
      </c>
      <c r="B79" s="18"/>
      <c r="C79" s="35">
        <v>4213</v>
      </c>
      <c r="D79" s="40" t="s">
        <v>98</v>
      </c>
      <c r="E79" s="20">
        <v>321</v>
      </c>
      <c r="F79" s="20">
        <v>321</v>
      </c>
      <c r="G79" s="25">
        <v>0</v>
      </c>
      <c r="H79" s="221">
        <f t="shared" si="1"/>
        <v>0</v>
      </c>
    </row>
    <row r="80" spans="1:8" ht="15.75" customHeight="1">
      <c r="A80" s="37">
        <v>1047</v>
      </c>
      <c r="B80" s="18"/>
      <c r="C80" s="35">
        <v>4213</v>
      </c>
      <c r="D80" s="40" t="s">
        <v>99</v>
      </c>
      <c r="E80" s="20">
        <v>174</v>
      </c>
      <c r="F80" s="20">
        <v>174</v>
      </c>
      <c r="G80" s="25">
        <v>0</v>
      </c>
      <c r="H80" s="221">
        <f t="shared" si="1"/>
        <v>0</v>
      </c>
    </row>
    <row r="81" spans="1:8" ht="15.75">
      <c r="A81" s="37">
        <v>71024</v>
      </c>
      <c r="B81" s="18"/>
      <c r="C81" s="38">
        <v>4216</v>
      </c>
      <c r="D81" s="39" t="s">
        <v>100</v>
      </c>
      <c r="E81" s="22">
        <v>4300</v>
      </c>
      <c r="F81" s="22">
        <v>0</v>
      </c>
      <c r="G81" s="25">
        <v>0</v>
      </c>
      <c r="H81" s="221" t="e">
        <f t="shared" si="1"/>
        <v>#DIV/0!</v>
      </c>
    </row>
    <row r="82" spans="1:8" ht="15.75">
      <c r="A82" s="37">
        <v>81012</v>
      </c>
      <c r="B82" s="18"/>
      <c r="C82" s="38">
        <v>4216</v>
      </c>
      <c r="D82" s="39" t="s">
        <v>101</v>
      </c>
      <c r="E82" s="22">
        <v>2660</v>
      </c>
      <c r="F82" s="22">
        <v>45.9</v>
      </c>
      <c r="G82" s="25">
        <v>45.9</v>
      </c>
      <c r="H82" s="221">
        <f t="shared" si="1"/>
        <v>100</v>
      </c>
    </row>
    <row r="83" spans="1:8" ht="15.75">
      <c r="A83" s="37">
        <v>1036</v>
      </c>
      <c r="B83" s="18"/>
      <c r="C83" s="38">
        <v>4216</v>
      </c>
      <c r="D83" s="39" t="s">
        <v>102</v>
      </c>
      <c r="E83" s="22">
        <v>588</v>
      </c>
      <c r="F83" s="22">
        <v>588</v>
      </c>
      <c r="G83" s="25">
        <v>0</v>
      </c>
      <c r="H83" s="221">
        <f t="shared" si="1"/>
        <v>0</v>
      </c>
    </row>
    <row r="84" spans="1:8" ht="15.75">
      <c r="A84" s="37">
        <v>1045</v>
      </c>
      <c r="B84" s="18"/>
      <c r="C84" s="38">
        <v>4216</v>
      </c>
      <c r="D84" s="39" t="s">
        <v>103</v>
      </c>
      <c r="E84" s="22">
        <v>2125</v>
      </c>
      <c r="F84" s="22">
        <v>2125</v>
      </c>
      <c r="G84" s="25">
        <v>0</v>
      </c>
      <c r="H84" s="221">
        <f t="shared" si="1"/>
        <v>0</v>
      </c>
    </row>
    <row r="85" spans="1:8" ht="15.75">
      <c r="A85" s="37">
        <v>1046</v>
      </c>
      <c r="B85" s="18"/>
      <c r="C85" s="38">
        <v>4216</v>
      </c>
      <c r="D85" s="39" t="s">
        <v>104</v>
      </c>
      <c r="E85" s="22">
        <v>882</v>
      </c>
      <c r="F85" s="22">
        <v>882</v>
      </c>
      <c r="G85" s="25">
        <v>0</v>
      </c>
      <c r="H85" s="221">
        <f t="shared" si="1"/>
        <v>0</v>
      </c>
    </row>
    <row r="86" spans="1:8" ht="15.75">
      <c r="A86" s="37">
        <v>1047</v>
      </c>
      <c r="B86" s="18"/>
      <c r="C86" s="38">
        <v>4216</v>
      </c>
      <c r="D86" s="39" t="s">
        <v>105</v>
      </c>
      <c r="E86" s="22">
        <v>5464</v>
      </c>
      <c r="F86" s="22">
        <v>5464</v>
      </c>
      <c r="G86" s="25">
        <v>0</v>
      </c>
      <c r="H86" s="221">
        <f t="shared" si="1"/>
        <v>0</v>
      </c>
    </row>
    <row r="87" spans="1:8" ht="15.75">
      <c r="A87" s="37">
        <v>1048</v>
      </c>
      <c r="B87" s="18"/>
      <c r="C87" s="38">
        <v>4216</v>
      </c>
      <c r="D87" s="39" t="s">
        <v>106</v>
      </c>
      <c r="E87" s="22">
        <v>2959</v>
      </c>
      <c r="F87" s="22">
        <v>2959</v>
      </c>
      <c r="G87" s="25">
        <v>0</v>
      </c>
      <c r="H87" s="221">
        <f t="shared" si="1"/>
        <v>0</v>
      </c>
    </row>
    <row r="88" spans="1:8" ht="15" hidden="1">
      <c r="A88" s="42"/>
      <c r="B88" s="42"/>
      <c r="C88" s="38">
        <v>4216</v>
      </c>
      <c r="D88" s="43" t="s">
        <v>107</v>
      </c>
      <c r="E88" s="22"/>
      <c r="F88" s="22"/>
      <c r="G88" s="25"/>
      <c r="H88" s="221" t="e">
        <f t="shared" si="1"/>
        <v>#DIV/0!</v>
      </c>
    </row>
    <row r="89" spans="1:8" ht="15" hidden="1">
      <c r="A89" s="44"/>
      <c r="B89" s="45"/>
      <c r="C89" s="41">
        <v>4216</v>
      </c>
      <c r="D89" s="43" t="s">
        <v>107</v>
      </c>
      <c r="E89" s="25"/>
      <c r="F89" s="25"/>
      <c r="G89" s="25"/>
      <c r="H89" s="221" t="e">
        <f t="shared" si="1"/>
        <v>#DIV/0!</v>
      </c>
    </row>
    <row r="90" spans="1:8" ht="15" hidden="1">
      <c r="A90" s="44"/>
      <c r="B90" s="45"/>
      <c r="C90" s="41">
        <v>4222</v>
      </c>
      <c r="D90" s="43" t="s">
        <v>108</v>
      </c>
      <c r="E90" s="25"/>
      <c r="F90" s="25"/>
      <c r="G90" s="25"/>
      <c r="H90" s="221" t="e">
        <f t="shared" si="1"/>
        <v>#DIV/0!</v>
      </c>
    </row>
    <row r="91" spans="1:8" ht="15">
      <c r="A91" s="44"/>
      <c r="B91" s="45"/>
      <c r="C91" s="41">
        <v>4223</v>
      </c>
      <c r="D91" s="43" t="s">
        <v>109</v>
      </c>
      <c r="E91" s="25">
        <v>30000</v>
      </c>
      <c r="F91" s="25">
        <v>17995.4</v>
      </c>
      <c r="G91" s="25">
        <v>0</v>
      </c>
      <c r="H91" s="221">
        <f t="shared" si="1"/>
        <v>0</v>
      </c>
    </row>
    <row r="92" spans="1:8" ht="15" hidden="1">
      <c r="A92" s="44"/>
      <c r="B92" s="45">
        <v>2212</v>
      </c>
      <c r="C92" s="41">
        <v>2322</v>
      </c>
      <c r="D92" s="43" t="s">
        <v>110</v>
      </c>
      <c r="E92" s="25"/>
      <c r="F92" s="25"/>
      <c r="G92" s="25"/>
      <c r="H92" s="221" t="e">
        <f t="shared" si="1"/>
        <v>#DIV/0!</v>
      </c>
    </row>
    <row r="93" spans="1:8" ht="15">
      <c r="A93" s="44"/>
      <c r="B93" s="45"/>
      <c r="C93" s="41">
        <v>4223</v>
      </c>
      <c r="D93" s="43" t="s">
        <v>111</v>
      </c>
      <c r="E93" s="25">
        <v>0</v>
      </c>
      <c r="F93" s="25">
        <v>3541.3</v>
      </c>
      <c r="G93" s="25">
        <v>0</v>
      </c>
      <c r="H93" s="221">
        <f t="shared" si="1"/>
        <v>0</v>
      </c>
    </row>
    <row r="94" spans="1:8" ht="15">
      <c r="A94" s="44"/>
      <c r="B94" s="45">
        <v>2212</v>
      </c>
      <c r="C94" s="41">
        <v>2324</v>
      </c>
      <c r="D94" s="43" t="s">
        <v>112</v>
      </c>
      <c r="E94" s="25">
        <v>0</v>
      </c>
      <c r="F94" s="25">
        <v>0</v>
      </c>
      <c r="G94" s="25">
        <v>17.1</v>
      </c>
      <c r="H94" s="221" t="e">
        <f t="shared" si="1"/>
        <v>#DIV/0!</v>
      </c>
    </row>
    <row r="95" spans="1:8" ht="15" hidden="1">
      <c r="A95" s="44"/>
      <c r="B95" s="45">
        <v>2219</v>
      </c>
      <c r="C95" s="46">
        <v>2321</v>
      </c>
      <c r="D95" s="43" t="s">
        <v>113</v>
      </c>
      <c r="E95" s="25"/>
      <c r="F95" s="25"/>
      <c r="G95" s="25"/>
      <c r="H95" s="221" t="e">
        <f t="shared" si="1"/>
        <v>#DIV/0!</v>
      </c>
    </row>
    <row r="96" spans="1:8" ht="15" hidden="1">
      <c r="A96" s="44"/>
      <c r="B96" s="45">
        <v>2219</v>
      </c>
      <c r="C96" s="41">
        <v>2324</v>
      </c>
      <c r="D96" s="43" t="s">
        <v>114</v>
      </c>
      <c r="E96" s="25"/>
      <c r="F96" s="25"/>
      <c r="G96" s="25"/>
      <c r="H96" s="221" t="e">
        <f t="shared" si="1"/>
        <v>#DIV/0!</v>
      </c>
    </row>
    <row r="97" spans="1:8" ht="15" hidden="1">
      <c r="A97" s="44"/>
      <c r="B97" s="45">
        <v>2221</v>
      </c>
      <c r="C97" s="46">
        <v>2329</v>
      </c>
      <c r="D97" s="43" t="s">
        <v>115</v>
      </c>
      <c r="E97" s="25"/>
      <c r="F97" s="25"/>
      <c r="G97" s="25"/>
      <c r="H97" s="221" t="e">
        <f t="shared" si="1"/>
        <v>#DIV/0!</v>
      </c>
    </row>
    <row r="98" spans="1:8" ht="15">
      <c r="A98" s="47"/>
      <c r="B98" s="41">
        <v>3631</v>
      </c>
      <c r="C98" s="21">
        <v>2324</v>
      </c>
      <c r="D98" s="21" t="s">
        <v>116</v>
      </c>
      <c r="E98" s="22">
        <v>0</v>
      </c>
      <c r="F98" s="22">
        <v>1016.8</v>
      </c>
      <c r="G98" s="22">
        <v>1016.8</v>
      </c>
      <c r="H98" s="221">
        <f t="shared" si="1"/>
        <v>100</v>
      </c>
    </row>
    <row r="99" spans="1:8" ht="15">
      <c r="A99" s="44"/>
      <c r="B99" s="45">
        <v>3635</v>
      </c>
      <c r="C99" s="41">
        <v>3122</v>
      </c>
      <c r="D99" s="43" t="s">
        <v>117</v>
      </c>
      <c r="E99" s="25">
        <v>0</v>
      </c>
      <c r="F99" s="25">
        <v>0</v>
      </c>
      <c r="G99" s="25">
        <v>260.2</v>
      </c>
      <c r="H99" s="221" t="e">
        <f t="shared" si="1"/>
        <v>#DIV/0!</v>
      </c>
    </row>
    <row r="100" spans="1:8" ht="15">
      <c r="A100" s="47"/>
      <c r="B100" s="41">
        <v>3725</v>
      </c>
      <c r="C100" s="21">
        <v>2324</v>
      </c>
      <c r="D100" s="21" t="s">
        <v>118</v>
      </c>
      <c r="E100" s="22">
        <v>2000</v>
      </c>
      <c r="F100" s="22">
        <v>2000</v>
      </c>
      <c r="G100" s="22">
        <v>589.8</v>
      </c>
      <c r="H100" s="221">
        <f t="shared" si="1"/>
        <v>29.49</v>
      </c>
    </row>
    <row r="101" spans="1:8" ht="15">
      <c r="A101" s="47"/>
      <c r="B101" s="41">
        <v>3745</v>
      </c>
      <c r="C101" s="21">
        <v>2324</v>
      </c>
      <c r="D101" s="21" t="s">
        <v>119</v>
      </c>
      <c r="E101" s="22">
        <v>0</v>
      </c>
      <c r="F101" s="22">
        <v>0</v>
      </c>
      <c r="G101" s="22">
        <v>46.6</v>
      </c>
      <c r="H101" s="221" t="e">
        <f t="shared" si="1"/>
        <v>#DIV/0!</v>
      </c>
    </row>
    <row r="102" spans="1:8" ht="15.75" thickBot="1">
      <c r="A102" s="48"/>
      <c r="B102" s="27"/>
      <c r="C102" s="27"/>
      <c r="D102" s="27"/>
      <c r="E102" s="28"/>
      <c r="F102" s="28"/>
      <c r="G102" s="28"/>
      <c r="H102" s="222"/>
    </row>
    <row r="103" spans="1:8" s="32" customFormat="1" ht="21.75" customHeight="1" thickBot="1" thickTop="1">
      <c r="A103" s="49"/>
      <c r="B103" s="29"/>
      <c r="C103" s="29"/>
      <c r="D103" s="30" t="s">
        <v>120</v>
      </c>
      <c r="E103" s="31">
        <f>SUM(E68:E102)</f>
        <v>51889</v>
      </c>
      <c r="F103" s="31">
        <f>SUM(F68:F102)</f>
        <v>42416.70000000001</v>
      </c>
      <c r="G103" s="31">
        <f>SUM(G68:G102)</f>
        <v>3409.4</v>
      </c>
      <c r="H103" s="223">
        <f>(G103/F103)*100</f>
        <v>8.037871875935656</v>
      </c>
    </row>
    <row r="104" spans="1:8" ht="15" customHeight="1">
      <c r="A104" s="50"/>
      <c r="B104" s="50"/>
      <c r="C104" s="50"/>
      <c r="D104" s="14"/>
      <c r="E104" s="51"/>
      <c r="F104" s="51"/>
      <c r="G104" s="10"/>
      <c r="H104" s="214"/>
    </row>
    <row r="105" spans="1:8" ht="15" customHeight="1">
      <c r="A105" s="50"/>
      <c r="B105" s="50"/>
      <c r="C105" s="50"/>
      <c r="D105" s="14"/>
      <c r="E105" s="51"/>
      <c r="F105" s="51"/>
      <c r="G105" s="51"/>
      <c r="H105" s="225"/>
    </row>
    <row r="106" spans="1:8" ht="15" customHeight="1" thickBot="1">
      <c r="A106" s="50"/>
      <c r="B106" s="50"/>
      <c r="C106" s="50"/>
      <c r="D106" s="14"/>
      <c r="E106" s="51"/>
      <c r="F106" s="51"/>
      <c r="G106" s="51"/>
      <c r="H106" s="225"/>
    </row>
    <row r="107" spans="1:8" ht="15.75">
      <c r="A107" s="206" t="s">
        <v>25</v>
      </c>
      <c r="B107" s="206" t="s">
        <v>26</v>
      </c>
      <c r="C107" s="206" t="s">
        <v>27</v>
      </c>
      <c r="D107" s="207" t="s">
        <v>28</v>
      </c>
      <c r="E107" s="208" t="s">
        <v>29</v>
      </c>
      <c r="F107" s="208" t="s">
        <v>29</v>
      </c>
      <c r="G107" s="208" t="s">
        <v>7</v>
      </c>
      <c r="H107" s="218" t="s">
        <v>30</v>
      </c>
    </row>
    <row r="108" spans="1:8" ht="15.75" customHeight="1" thickBot="1">
      <c r="A108" s="209"/>
      <c r="B108" s="209"/>
      <c r="C108" s="209"/>
      <c r="D108" s="210"/>
      <c r="E108" s="211" t="s">
        <v>31</v>
      </c>
      <c r="F108" s="211" t="s">
        <v>32</v>
      </c>
      <c r="G108" s="212" t="s">
        <v>33</v>
      </c>
      <c r="H108" s="219" t="s">
        <v>34</v>
      </c>
    </row>
    <row r="109" spans="1:8" ht="16.5" customHeight="1" thickTop="1">
      <c r="A109" s="34">
        <v>30</v>
      </c>
      <c r="B109" s="18"/>
      <c r="C109" s="18"/>
      <c r="D109" s="19" t="s">
        <v>121</v>
      </c>
      <c r="E109" s="52"/>
      <c r="F109" s="52"/>
      <c r="G109" s="52"/>
      <c r="H109" s="226"/>
    </row>
    <row r="110" spans="1:8" ht="15" customHeight="1">
      <c r="A110" s="53"/>
      <c r="B110" s="54"/>
      <c r="C110" s="54"/>
      <c r="D110" s="54"/>
      <c r="E110" s="22"/>
      <c r="F110" s="22"/>
      <c r="G110" s="22"/>
      <c r="H110" s="221"/>
    </row>
    <row r="111" spans="1:8" ht="15" hidden="1">
      <c r="A111" s="55"/>
      <c r="B111" s="21"/>
      <c r="C111" s="21">
        <v>1361</v>
      </c>
      <c r="D111" s="21" t="s">
        <v>37</v>
      </c>
      <c r="E111" s="56"/>
      <c r="F111" s="56"/>
      <c r="G111" s="56"/>
      <c r="H111" s="221" t="e">
        <f>(#REF!/F111)*100</f>
        <v>#REF!</v>
      </c>
    </row>
    <row r="112" spans="1:8" ht="15">
      <c r="A112" s="55"/>
      <c r="B112" s="21"/>
      <c r="C112" s="21">
        <v>2460</v>
      </c>
      <c r="D112" s="21" t="s">
        <v>122</v>
      </c>
      <c r="E112" s="56">
        <v>0</v>
      </c>
      <c r="F112" s="56">
        <v>15</v>
      </c>
      <c r="G112" s="56">
        <v>7</v>
      </c>
      <c r="H112" s="221">
        <f aca="true" t="shared" si="2" ref="H112:H140">(G112/F112)*100</f>
        <v>46.666666666666664</v>
      </c>
    </row>
    <row r="113" spans="1:8" ht="15" customHeight="1" hidden="1">
      <c r="A113" s="55">
        <v>98071</v>
      </c>
      <c r="B113" s="21"/>
      <c r="C113" s="21">
        <v>4111</v>
      </c>
      <c r="D113" s="21" t="s">
        <v>123</v>
      </c>
      <c r="E113" s="56"/>
      <c r="F113" s="56"/>
      <c r="G113" s="56"/>
      <c r="H113" s="221" t="e">
        <f t="shared" si="2"/>
        <v>#DIV/0!</v>
      </c>
    </row>
    <row r="114" spans="1:8" ht="15" customHeight="1" hidden="1">
      <c r="A114" s="55">
        <v>98187</v>
      </c>
      <c r="B114" s="21"/>
      <c r="C114" s="21">
        <v>4111</v>
      </c>
      <c r="D114" s="21" t="s">
        <v>124</v>
      </c>
      <c r="E114" s="56"/>
      <c r="F114" s="56"/>
      <c r="G114" s="22"/>
      <c r="H114" s="221" t="e">
        <f t="shared" si="2"/>
        <v>#DIV/0!</v>
      </c>
    </row>
    <row r="115" spans="1:8" ht="15" hidden="1">
      <c r="A115" s="55">
        <v>98007</v>
      </c>
      <c r="B115" s="21"/>
      <c r="C115" s="21">
        <v>4111</v>
      </c>
      <c r="D115" s="21" t="s">
        <v>125</v>
      </c>
      <c r="E115" s="22"/>
      <c r="F115" s="22"/>
      <c r="G115" s="22"/>
      <c r="H115" s="221" t="e">
        <f t="shared" si="2"/>
        <v>#DIV/0!</v>
      </c>
    </row>
    <row r="116" spans="1:8" ht="15">
      <c r="A116" s="55">
        <v>98008</v>
      </c>
      <c r="B116" s="21"/>
      <c r="C116" s="21">
        <v>4111</v>
      </c>
      <c r="D116" s="21" t="s">
        <v>126</v>
      </c>
      <c r="E116" s="22">
        <v>0</v>
      </c>
      <c r="F116" s="22">
        <v>653</v>
      </c>
      <c r="G116" s="22">
        <v>653</v>
      </c>
      <c r="H116" s="221">
        <f t="shared" si="2"/>
        <v>100</v>
      </c>
    </row>
    <row r="117" spans="1:8" ht="15" hidden="1">
      <c r="A117" s="55">
        <v>98193</v>
      </c>
      <c r="B117" s="21"/>
      <c r="C117" s="21">
        <v>4111</v>
      </c>
      <c r="D117" s="21" t="s">
        <v>127</v>
      </c>
      <c r="E117" s="20"/>
      <c r="F117" s="20"/>
      <c r="G117" s="22"/>
      <c r="H117" s="221" t="e">
        <f t="shared" si="2"/>
        <v>#DIV/0!</v>
      </c>
    </row>
    <row r="118" spans="1:8" ht="15" customHeight="1">
      <c r="A118" s="55">
        <v>13011</v>
      </c>
      <c r="B118" s="21"/>
      <c r="C118" s="21">
        <v>4111</v>
      </c>
      <c r="D118" s="21" t="s">
        <v>128</v>
      </c>
      <c r="E118" s="56">
        <v>0</v>
      </c>
      <c r="F118" s="56">
        <v>2653.7</v>
      </c>
      <c r="G118" s="56">
        <v>2653.7</v>
      </c>
      <c r="H118" s="221">
        <f t="shared" si="2"/>
        <v>100</v>
      </c>
    </row>
    <row r="119" spans="1:8" ht="14.25" customHeight="1" hidden="1">
      <c r="A119" s="55">
        <v>27003</v>
      </c>
      <c r="B119" s="21"/>
      <c r="C119" s="21">
        <v>4116</v>
      </c>
      <c r="D119" s="21" t="s">
        <v>129</v>
      </c>
      <c r="E119" s="56"/>
      <c r="F119" s="56"/>
      <c r="G119" s="56"/>
      <c r="H119" s="221" t="e">
        <f t="shared" si="2"/>
        <v>#DIV/0!</v>
      </c>
    </row>
    <row r="120" spans="1:8" ht="15" customHeight="1" hidden="1">
      <c r="A120" s="55"/>
      <c r="B120" s="21"/>
      <c r="C120" s="21">
        <v>4121</v>
      </c>
      <c r="D120" s="21" t="s">
        <v>130</v>
      </c>
      <c r="E120" s="56"/>
      <c r="F120" s="56"/>
      <c r="G120" s="56"/>
      <c r="H120" s="221" t="e">
        <f t="shared" si="2"/>
        <v>#DIV/0!</v>
      </c>
    </row>
    <row r="121" spans="1:8" ht="15" customHeight="1" hidden="1">
      <c r="A121" s="55"/>
      <c r="B121" s="21"/>
      <c r="C121" s="21">
        <v>4122</v>
      </c>
      <c r="D121" s="21" t="s">
        <v>131</v>
      </c>
      <c r="E121" s="56"/>
      <c r="F121" s="56"/>
      <c r="G121" s="56"/>
      <c r="H121" s="221" t="e">
        <f t="shared" si="2"/>
        <v>#DIV/0!</v>
      </c>
    </row>
    <row r="122" spans="1:8" ht="15" hidden="1">
      <c r="A122" s="55"/>
      <c r="B122" s="21"/>
      <c r="C122" s="21">
        <v>4132</v>
      </c>
      <c r="D122" s="21" t="s">
        <v>132</v>
      </c>
      <c r="E122" s="56"/>
      <c r="F122" s="56"/>
      <c r="G122" s="56"/>
      <c r="H122" s="221" t="e">
        <f t="shared" si="2"/>
        <v>#DIV/0!</v>
      </c>
    </row>
    <row r="123" spans="1:8" ht="15" hidden="1">
      <c r="A123" s="55"/>
      <c r="B123" s="21"/>
      <c r="C123" s="21">
        <v>4216</v>
      </c>
      <c r="D123" s="21" t="s">
        <v>133</v>
      </c>
      <c r="E123" s="56"/>
      <c r="F123" s="56"/>
      <c r="G123" s="56"/>
      <c r="H123" s="221" t="e">
        <f t="shared" si="2"/>
        <v>#DIV/0!</v>
      </c>
    </row>
    <row r="124" spans="1:8" ht="15" customHeight="1" hidden="1">
      <c r="A124" s="55"/>
      <c r="B124" s="21"/>
      <c r="C124" s="21">
        <v>4222</v>
      </c>
      <c r="D124" s="21" t="s">
        <v>134</v>
      </c>
      <c r="E124" s="56"/>
      <c r="F124" s="56"/>
      <c r="G124" s="56"/>
      <c r="H124" s="221" t="e">
        <f t="shared" si="2"/>
        <v>#DIV/0!</v>
      </c>
    </row>
    <row r="125" spans="1:8" ht="15">
      <c r="A125" s="55"/>
      <c r="B125" s="21">
        <v>3341</v>
      </c>
      <c r="C125" s="21">
        <v>2111</v>
      </c>
      <c r="D125" s="21" t="s">
        <v>135</v>
      </c>
      <c r="E125" s="57">
        <v>3</v>
      </c>
      <c r="F125" s="57">
        <v>3</v>
      </c>
      <c r="G125" s="57">
        <v>1.8</v>
      </c>
      <c r="H125" s="221">
        <f t="shared" si="2"/>
        <v>60</v>
      </c>
    </row>
    <row r="126" spans="1:8" ht="15">
      <c r="A126" s="55"/>
      <c r="B126" s="21">
        <v>3349</v>
      </c>
      <c r="C126" s="21">
        <v>2111</v>
      </c>
      <c r="D126" s="21" t="s">
        <v>136</v>
      </c>
      <c r="E126" s="57">
        <v>900</v>
      </c>
      <c r="F126" s="57">
        <v>900</v>
      </c>
      <c r="G126" s="57">
        <v>443.4</v>
      </c>
      <c r="H126" s="221">
        <f t="shared" si="2"/>
        <v>49.266666666666666</v>
      </c>
    </row>
    <row r="127" spans="1:8" ht="15" hidden="1">
      <c r="A127" s="55"/>
      <c r="B127" s="21">
        <v>5512</v>
      </c>
      <c r="C127" s="21">
        <v>2132</v>
      </c>
      <c r="D127" s="21" t="s">
        <v>137</v>
      </c>
      <c r="E127" s="22"/>
      <c r="F127" s="22"/>
      <c r="G127" s="22"/>
      <c r="H127" s="221" t="e">
        <f t="shared" si="2"/>
        <v>#DIV/0!</v>
      </c>
    </row>
    <row r="128" spans="1:8" ht="15">
      <c r="A128" s="55"/>
      <c r="B128" s="21">
        <v>5512</v>
      </c>
      <c r="C128" s="21">
        <v>2324</v>
      </c>
      <c r="D128" s="21" t="s">
        <v>138</v>
      </c>
      <c r="E128" s="22">
        <v>0</v>
      </c>
      <c r="F128" s="22">
        <v>0</v>
      </c>
      <c r="G128" s="22">
        <v>20.2</v>
      </c>
      <c r="H128" s="221" t="e">
        <f t="shared" si="2"/>
        <v>#DIV/0!</v>
      </c>
    </row>
    <row r="129" spans="1:8" ht="15" hidden="1">
      <c r="A129" s="55"/>
      <c r="B129" s="21">
        <v>5512</v>
      </c>
      <c r="C129" s="21">
        <v>3113</v>
      </c>
      <c r="D129" s="21" t="s">
        <v>139</v>
      </c>
      <c r="E129" s="22"/>
      <c r="F129" s="22"/>
      <c r="G129" s="20"/>
      <c r="H129" s="221" t="e">
        <f t="shared" si="2"/>
        <v>#DIV/0!</v>
      </c>
    </row>
    <row r="130" spans="1:8" ht="15">
      <c r="A130" s="55"/>
      <c r="B130" s="21">
        <v>6171</v>
      </c>
      <c r="C130" s="21">
        <v>2111</v>
      </c>
      <c r="D130" s="21" t="s">
        <v>140</v>
      </c>
      <c r="E130" s="57">
        <v>150</v>
      </c>
      <c r="F130" s="57">
        <v>150</v>
      </c>
      <c r="G130" s="57">
        <v>87.3</v>
      </c>
      <c r="H130" s="221">
        <f t="shared" si="2"/>
        <v>58.199999999999996</v>
      </c>
    </row>
    <row r="131" spans="1:8" ht="15">
      <c r="A131" s="55"/>
      <c r="B131" s="21">
        <v>6171</v>
      </c>
      <c r="C131" s="21">
        <v>2132</v>
      </c>
      <c r="D131" s="21" t="s">
        <v>141</v>
      </c>
      <c r="E131" s="22">
        <v>60</v>
      </c>
      <c r="F131" s="22">
        <v>60</v>
      </c>
      <c r="G131" s="22">
        <v>42.5</v>
      </c>
      <c r="H131" s="221">
        <f t="shared" si="2"/>
        <v>70.83333333333334</v>
      </c>
    </row>
    <row r="132" spans="1:8" ht="15" hidden="1">
      <c r="A132" s="55"/>
      <c r="B132" s="21">
        <v>6171</v>
      </c>
      <c r="C132" s="21">
        <v>2210</v>
      </c>
      <c r="D132" s="21" t="s">
        <v>142</v>
      </c>
      <c r="E132" s="25"/>
      <c r="F132" s="25"/>
      <c r="G132" s="25"/>
      <c r="H132" s="221" t="e">
        <f t="shared" si="2"/>
        <v>#DIV/0!</v>
      </c>
    </row>
    <row r="133" spans="1:8" ht="15" hidden="1">
      <c r="A133" s="55"/>
      <c r="B133" s="21">
        <v>6171</v>
      </c>
      <c r="C133" s="21">
        <v>2310</v>
      </c>
      <c r="D133" s="21" t="s">
        <v>143</v>
      </c>
      <c r="E133" s="22"/>
      <c r="F133" s="22"/>
      <c r="G133" s="22"/>
      <c r="H133" s="221" t="e">
        <f t="shared" si="2"/>
        <v>#DIV/0!</v>
      </c>
    </row>
    <row r="134" spans="1:8" ht="15" hidden="1">
      <c r="A134" s="55"/>
      <c r="B134" s="21">
        <v>6171</v>
      </c>
      <c r="C134" s="21">
        <v>2310</v>
      </c>
      <c r="D134" s="21" t="s">
        <v>143</v>
      </c>
      <c r="E134" s="22"/>
      <c r="F134" s="22"/>
      <c r="G134" s="22"/>
      <c r="H134" s="221" t="e">
        <f t="shared" si="2"/>
        <v>#DIV/0!</v>
      </c>
    </row>
    <row r="135" spans="1:8" ht="15" hidden="1">
      <c r="A135" s="55"/>
      <c r="B135" s="21">
        <v>6171</v>
      </c>
      <c r="C135" s="21">
        <v>2133</v>
      </c>
      <c r="D135" s="21" t="s">
        <v>144</v>
      </c>
      <c r="E135" s="57"/>
      <c r="F135" s="57"/>
      <c r="G135" s="57"/>
      <c r="H135" s="221" t="e">
        <f t="shared" si="2"/>
        <v>#DIV/0!</v>
      </c>
    </row>
    <row r="136" spans="1:8" ht="15" hidden="1">
      <c r="A136" s="55"/>
      <c r="B136" s="21">
        <v>6171</v>
      </c>
      <c r="C136" s="21">
        <v>2310</v>
      </c>
      <c r="D136" s="21" t="s">
        <v>145</v>
      </c>
      <c r="E136" s="57"/>
      <c r="F136" s="57"/>
      <c r="G136" s="57"/>
      <c r="H136" s="221" t="e">
        <f t="shared" si="2"/>
        <v>#DIV/0!</v>
      </c>
    </row>
    <row r="137" spans="1:8" ht="15" hidden="1">
      <c r="A137" s="55"/>
      <c r="B137" s="21">
        <v>6171</v>
      </c>
      <c r="C137" s="21">
        <v>2322</v>
      </c>
      <c r="D137" s="21" t="s">
        <v>146</v>
      </c>
      <c r="E137" s="22"/>
      <c r="F137" s="22"/>
      <c r="G137" s="22"/>
      <c r="H137" s="221" t="e">
        <f t="shared" si="2"/>
        <v>#DIV/0!</v>
      </c>
    </row>
    <row r="138" spans="1:8" ht="15">
      <c r="A138" s="55"/>
      <c r="B138" s="21">
        <v>6171</v>
      </c>
      <c r="C138" s="21">
        <v>2324</v>
      </c>
      <c r="D138" s="21" t="s">
        <v>147</v>
      </c>
      <c r="E138" s="22">
        <v>50</v>
      </c>
      <c r="F138" s="22">
        <v>50</v>
      </c>
      <c r="G138" s="22">
        <v>788.3</v>
      </c>
      <c r="H138" s="221">
        <f t="shared" si="2"/>
        <v>1576.6</v>
      </c>
    </row>
    <row r="139" spans="1:8" ht="15">
      <c r="A139" s="55"/>
      <c r="B139" s="21">
        <v>6171</v>
      </c>
      <c r="C139" s="21">
        <v>2329</v>
      </c>
      <c r="D139" s="21" t="s">
        <v>148</v>
      </c>
      <c r="E139" s="22">
        <v>0</v>
      </c>
      <c r="F139" s="22">
        <v>0</v>
      </c>
      <c r="G139" s="22">
        <v>3.8</v>
      </c>
      <c r="H139" s="221" t="e">
        <f t="shared" si="2"/>
        <v>#DIV/0!</v>
      </c>
    </row>
    <row r="140" spans="1:8" ht="15">
      <c r="A140" s="55"/>
      <c r="B140" s="21">
        <v>6409</v>
      </c>
      <c r="C140" s="21">
        <v>2328</v>
      </c>
      <c r="D140" s="21" t="s">
        <v>149</v>
      </c>
      <c r="E140" s="22">
        <v>0</v>
      </c>
      <c r="F140" s="22">
        <v>0</v>
      </c>
      <c r="G140" s="22">
        <v>-3</v>
      </c>
      <c r="H140" s="221" t="e">
        <f t="shared" si="2"/>
        <v>#DIV/0!</v>
      </c>
    </row>
    <row r="141" spans="1:8" ht="15" hidden="1">
      <c r="A141" s="55"/>
      <c r="B141" s="21"/>
      <c r="C141" s="21"/>
      <c r="D141" s="21"/>
      <c r="E141" s="22">
        <v>0</v>
      </c>
      <c r="F141" s="22">
        <v>0</v>
      </c>
      <c r="G141" s="22"/>
      <c r="H141" s="221" t="e">
        <f>(#REF!/F141)*100</f>
        <v>#REF!</v>
      </c>
    </row>
    <row r="142" spans="1:8" ht="15.75" thickBot="1">
      <c r="A142" s="58"/>
      <c r="B142" s="59"/>
      <c r="C142" s="59"/>
      <c r="D142" s="59"/>
      <c r="E142" s="60"/>
      <c r="F142" s="60"/>
      <c r="G142" s="60"/>
      <c r="H142" s="227"/>
    </row>
    <row r="143" spans="1:8" s="32" customFormat="1" ht="21.75" customHeight="1" thickBot="1" thickTop="1">
      <c r="A143" s="61"/>
      <c r="B143" s="62"/>
      <c r="C143" s="62"/>
      <c r="D143" s="63" t="s">
        <v>150</v>
      </c>
      <c r="E143" s="64">
        <f>SUM(E111:E142)</f>
        <v>1163</v>
      </c>
      <c r="F143" s="64">
        <f>SUM(F111:F142)</f>
        <v>4484.7</v>
      </c>
      <c r="G143" s="64">
        <f>SUM(G110:G142)</f>
        <v>4698</v>
      </c>
      <c r="H143" s="223">
        <f>(G143/F143)*100</f>
        <v>104.75617098133654</v>
      </c>
    </row>
    <row r="144" spans="1:8" ht="15" customHeight="1">
      <c r="A144" s="50"/>
      <c r="B144" s="50"/>
      <c r="C144" s="50"/>
      <c r="D144" s="14"/>
      <c r="E144" s="51"/>
      <c r="F144" s="51"/>
      <c r="G144" s="51"/>
      <c r="H144" s="225"/>
    </row>
    <row r="145" spans="1:8" ht="15" customHeight="1">
      <c r="A145" s="50"/>
      <c r="B145" s="50"/>
      <c r="C145" s="50"/>
      <c r="D145" s="14"/>
      <c r="E145" s="51"/>
      <c r="F145" s="51"/>
      <c r="G145" s="51"/>
      <c r="H145" s="225"/>
    </row>
    <row r="146" spans="1:8" ht="12.75" customHeight="1" hidden="1">
      <c r="A146" s="50"/>
      <c r="B146" s="50"/>
      <c r="C146" s="50"/>
      <c r="D146" s="14"/>
      <c r="E146" s="51"/>
      <c r="F146" s="51"/>
      <c r="G146" s="51"/>
      <c r="H146" s="225"/>
    </row>
    <row r="147" spans="1:8" ht="15" customHeight="1" thickBot="1">
      <c r="A147" s="50"/>
      <c r="B147" s="50"/>
      <c r="C147" s="50"/>
      <c r="D147" s="14"/>
      <c r="E147" s="51"/>
      <c r="F147" s="51"/>
      <c r="G147" s="51"/>
      <c r="H147" s="225"/>
    </row>
    <row r="148" spans="1:8" ht="15.75">
      <c r="A148" s="206" t="s">
        <v>25</v>
      </c>
      <c r="B148" s="206" t="s">
        <v>26</v>
      </c>
      <c r="C148" s="206" t="s">
        <v>27</v>
      </c>
      <c r="D148" s="207" t="s">
        <v>28</v>
      </c>
      <c r="E148" s="208" t="s">
        <v>29</v>
      </c>
      <c r="F148" s="208" t="s">
        <v>29</v>
      </c>
      <c r="G148" s="208" t="s">
        <v>7</v>
      </c>
      <c r="H148" s="218" t="s">
        <v>30</v>
      </c>
    </row>
    <row r="149" spans="1:8" ht="15.75" customHeight="1" thickBot="1">
      <c r="A149" s="209"/>
      <c r="B149" s="209"/>
      <c r="C149" s="209"/>
      <c r="D149" s="210"/>
      <c r="E149" s="211" t="s">
        <v>31</v>
      </c>
      <c r="F149" s="211" t="s">
        <v>32</v>
      </c>
      <c r="G149" s="212" t="s">
        <v>33</v>
      </c>
      <c r="H149" s="219" t="s">
        <v>34</v>
      </c>
    </row>
    <row r="150" spans="1:8" ht="16.5" customHeight="1" thickTop="1">
      <c r="A150" s="18">
        <v>50</v>
      </c>
      <c r="B150" s="18"/>
      <c r="C150" s="18"/>
      <c r="D150" s="19" t="s">
        <v>151</v>
      </c>
      <c r="E150" s="20"/>
      <c r="F150" s="20"/>
      <c r="G150" s="20"/>
      <c r="H150" s="220"/>
    </row>
    <row r="151" spans="1:8" ht="15" customHeight="1">
      <c r="A151" s="21"/>
      <c r="B151" s="21"/>
      <c r="C151" s="21"/>
      <c r="D151" s="54"/>
      <c r="E151" s="22"/>
      <c r="F151" s="22"/>
      <c r="G151" s="22"/>
      <c r="H151" s="221"/>
    </row>
    <row r="152" spans="1:8" ht="15" hidden="1">
      <c r="A152" s="21"/>
      <c r="B152" s="21"/>
      <c r="C152" s="21">
        <v>1361</v>
      </c>
      <c r="D152" s="21" t="s">
        <v>37</v>
      </c>
      <c r="E152" s="22"/>
      <c r="F152" s="22"/>
      <c r="G152" s="22"/>
      <c r="H152" s="221" t="e">
        <f>(#REF!/F152)*100</f>
        <v>#REF!</v>
      </c>
    </row>
    <row r="153" spans="1:8" ht="15">
      <c r="A153" s="21"/>
      <c r="B153" s="21"/>
      <c r="C153" s="21">
        <v>2451</v>
      </c>
      <c r="D153" s="21" t="s">
        <v>152</v>
      </c>
      <c r="E153" s="22">
        <v>4000</v>
      </c>
      <c r="F153" s="22">
        <v>4000</v>
      </c>
      <c r="G153" s="22">
        <v>4000</v>
      </c>
      <c r="H153" s="221">
        <f aca="true" t="shared" si="3" ref="H153:H169">(G153/F153)*100</f>
        <v>100</v>
      </c>
    </row>
    <row r="154" spans="1:8" ht="15" hidden="1">
      <c r="A154" s="21"/>
      <c r="B154" s="21"/>
      <c r="C154" s="21">
        <v>4116</v>
      </c>
      <c r="D154" s="21" t="s">
        <v>153</v>
      </c>
      <c r="E154" s="22"/>
      <c r="F154" s="22"/>
      <c r="G154" s="22"/>
      <c r="H154" s="221" t="e">
        <f t="shared" si="3"/>
        <v>#DIV/0!</v>
      </c>
    </row>
    <row r="155" spans="1:8" ht="15" hidden="1">
      <c r="A155" s="21">
        <v>434</v>
      </c>
      <c r="B155" s="21"/>
      <c r="C155" s="21">
        <v>4122</v>
      </c>
      <c r="D155" s="21" t="s">
        <v>154</v>
      </c>
      <c r="E155" s="22"/>
      <c r="F155" s="22"/>
      <c r="G155" s="22"/>
      <c r="H155" s="221" t="e">
        <f t="shared" si="3"/>
        <v>#DIV/0!</v>
      </c>
    </row>
    <row r="156" spans="1:8" ht="15" customHeight="1">
      <c r="A156" s="21"/>
      <c r="B156" s="21">
        <v>3599</v>
      </c>
      <c r="C156" s="21">
        <v>2324</v>
      </c>
      <c r="D156" s="21" t="s">
        <v>155</v>
      </c>
      <c r="E156" s="22">
        <v>3</v>
      </c>
      <c r="F156" s="22">
        <v>3</v>
      </c>
      <c r="G156" s="22">
        <v>1.9</v>
      </c>
      <c r="H156" s="221">
        <f t="shared" si="3"/>
        <v>63.33333333333333</v>
      </c>
    </row>
    <row r="157" spans="1:8" ht="15" customHeight="1">
      <c r="A157" s="21"/>
      <c r="B157" s="21">
        <v>4171</v>
      </c>
      <c r="C157" s="21">
        <v>2229</v>
      </c>
      <c r="D157" s="21" t="s">
        <v>156</v>
      </c>
      <c r="E157" s="22">
        <v>0</v>
      </c>
      <c r="F157" s="22">
        <v>0</v>
      </c>
      <c r="G157" s="22">
        <v>6</v>
      </c>
      <c r="H157" s="221" t="e">
        <f t="shared" si="3"/>
        <v>#DIV/0!</v>
      </c>
    </row>
    <row r="158" spans="1:8" ht="15" customHeight="1">
      <c r="A158" s="21"/>
      <c r="B158" s="21">
        <v>4179</v>
      </c>
      <c r="C158" s="21">
        <v>2229</v>
      </c>
      <c r="D158" s="21" t="s">
        <v>157</v>
      </c>
      <c r="E158" s="22">
        <v>0</v>
      </c>
      <c r="F158" s="22">
        <v>0</v>
      </c>
      <c r="G158" s="22">
        <v>3.5</v>
      </c>
      <c r="H158" s="221" t="e">
        <f t="shared" si="3"/>
        <v>#DIV/0!</v>
      </c>
    </row>
    <row r="159" spans="1:8" ht="15">
      <c r="A159" s="21"/>
      <c r="B159" s="21">
        <v>4195</v>
      </c>
      <c r="C159" s="21">
        <v>2229</v>
      </c>
      <c r="D159" s="21" t="s">
        <v>158</v>
      </c>
      <c r="E159" s="22">
        <v>0</v>
      </c>
      <c r="F159" s="22">
        <v>0</v>
      </c>
      <c r="G159" s="22">
        <v>12</v>
      </c>
      <c r="H159" s="221" t="e">
        <f t="shared" si="3"/>
        <v>#DIV/0!</v>
      </c>
    </row>
    <row r="160" spans="1:8" ht="15" hidden="1">
      <c r="A160" s="21"/>
      <c r="B160" s="21">
        <v>4329</v>
      </c>
      <c r="C160" s="21">
        <v>2229</v>
      </c>
      <c r="D160" s="21" t="s">
        <v>159</v>
      </c>
      <c r="E160" s="22"/>
      <c r="F160" s="22"/>
      <c r="G160" s="22"/>
      <c r="H160" s="221" t="e">
        <f t="shared" si="3"/>
        <v>#DIV/0!</v>
      </c>
    </row>
    <row r="161" spans="1:8" ht="15" hidden="1">
      <c r="A161" s="21"/>
      <c r="B161" s="21">
        <v>4329</v>
      </c>
      <c r="C161" s="21">
        <v>2324</v>
      </c>
      <c r="D161" s="21" t="s">
        <v>160</v>
      </c>
      <c r="E161" s="22"/>
      <c r="F161" s="22"/>
      <c r="G161" s="22"/>
      <c r="H161" s="221" t="e">
        <f t="shared" si="3"/>
        <v>#DIV/0!</v>
      </c>
    </row>
    <row r="162" spans="1:8" ht="15" hidden="1">
      <c r="A162" s="21"/>
      <c r="B162" s="21">
        <v>4342</v>
      </c>
      <c r="C162" s="21">
        <v>2324</v>
      </c>
      <c r="D162" s="21" t="s">
        <v>161</v>
      </c>
      <c r="E162" s="22"/>
      <c r="F162" s="22"/>
      <c r="G162" s="22"/>
      <c r="H162" s="221" t="e">
        <f t="shared" si="3"/>
        <v>#DIV/0!</v>
      </c>
    </row>
    <row r="163" spans="1:8" ht="15" hidden="1">
      <c r="A163" s="21"/>
      <c r="B163" s="21">
        <v>4349</v>
      </c>
      <c r="C163" s="21">
        <v>2229</v>
      </c>
      <c r="D163" s="21" t="s">
        <v>162</v>
      </c>
      <c r="E163" s="22"/>
      <c r="F163" s="22"/>
      <c r="G163" s="22"/>
      <c r="H163" s="221" t="e">
        <f t="shared" si="3"/>
        <v>#DIV/0!</v>
      </c>
    </row>
    <row r="164" spans="1:8" ht="15" hidden="1">
      <c r="A164" s="21"/>
      <c r="B164" s="21">
        <v>4399</v>
      </c>
      <c r="C164" s="21">
        <v>2111</v>
      </c>
      <c r="D164" s="21" t="s">
        <v>163</v>
      </c>
      <c r="E164" s="22"/>
      <c r="F164" s="22"/>
      <c r="G164" s="22"/>
      <c r="H164" s="221" t="e">
        <f t="shared" si="3"/>
        <v>#DIV/0!</v>
      </c>
    </row>
    <row r="165" spans="1:8" ht="15" hidden="1">
      <c r="A165" s="21"/>
      <c r="B165" s="21">
        <v>6171</v>
      </c>
      <c r="C165" s="21">
        <v>2111</v>
      </c>
      <c r="D165" s="21" t="s">
        <v>164</v>
      </c>
      <c r="E165" s="22"/>
      <c r="F165" s="22"/>
      <c r="G165" s="22"/>
      <c r="H165" s="221" t="e">
        <f t="shared" si="3"/>
        <v>#DIV/0!</v>
      </c>
    </row>
    <row r="166" spans="1:8" ht="15">
      <c r="A166" s="21"/>
      <c r="B166" s="21">
        <v>4379</v>
      </c>
      <c r="C166" s="21">
        <v>2212</v>
      </c>
      <c r="D166" s="21" t="s">
        <v>165</v>
      </c>
      <c r="E166" s="22">
        <v>10</v>
      </c>
      <c r="F166" s="22">
        <v>10</v>
      </c>
      <c r="G166" s="22">
        <v>2.5</v>
      </c>
      <c r="H166" s="221">
        <f t="shared" si="3"/>
        <v>25</v>
      </c>
    </row>
    <row r="167" spans="1:8" ht="15">
      <c r="A167" s="24"/>
      <c r="B167" s="24">
        <v>4399</v>
      </c>
      <c r="C167" s="24">
        <v>2324</v>
      </c>
      <c r="D167" s="24" t="s">
        <v>166</v>
      </c>
      <c r="E167" s="25">
        <v>0</v>
      </c>
      <c r="F167" s="25">
        <v>0</v>
      </c>
      <c r="G167" s="22">
        <v>5</v>
      </c>
      <c r="H167" s="221" t="e">
        <f t="shared" si="3"/>
        <v>#DIV/0!</v>
      </c>
    </row>
    <row r="168" spans="1:8" ht="15" hidden="1">
      <c r="A168" s="21"/>
      <c r="B168" s="21">
        <v>6171</v>
      </c>
      <c r="C168" s="21">
        <v>2212</v>
      </c>
      <c r="D168" s="21" t="s">
        <v>165</v>
      </c>
      <c r="E168" s="22"/>
      <c r="F168" s="22"/>
      <c r="G168" s="22"/>
      <c r="H168" s="221" t="e">
        <f t="shared" si="3"/>
        <v>#DIV/0!</v>
      </c>
    </row>
    <row r="169" spans="1:8" ht="15">
      <c r="A169" s="24"/>
      <c r="B169" s="21">
        <v>6171</v>
      </c>
      <c r="C169" s="21">
        <v>2324</v>
      </c>
      <c r="D169" s="21" t="s">
        <v>69</v>
      </c>
      <c r="E169" s="22">
        <v>8</v>
      </c>
      <c r="F169" s="22">
        <v>8</v>
      </c>
      <c r="G169" s="22">
        <v>1</v>
      </c>
      <c r="H169" s="221">
        <f t="shared" si="3"/>
        <v>12.5</v>
      </c>
    </row>
    <row r="170" spans="1:8" ht="15" customHeight="1" thickBot="1">
      <c r="A170" s="59"/>
      <c r="B170" s="59"/>
      <c r="C170" s="59"/>
      <c r="D170" s="59"/>
      <c r="E170" s="60"/>
      <c r="F170" s="60"/>
      <c r="G170" s="60"/>
      <c r="H170" s="221"/>
    </row>
    <row r="171" spans="1:8" s="32" customFormat="1" ht="21.75" customHeight="1" thickBot="1" thickTop="1">
      <c r="A171" s="62"/>
      <c r="B171" s="62"/>
      <c r="C171" s="62"/>
      <c r="D171" s="63" t="s">
        <v>167</v>
      </c>
      <c r="E171" s="64">
        <f>SUM(E151:E170)</f>
        <v>4021</v>
      </c>
      <c r="F171" s="64">
        <f>SUM(F151:F170)</f>
        <v>4021</v>
      </c>
      <c r="G171" s="64">
        <f>SUM(G151:G170)</f>
        <v>4031.9</v>
      </c>
      <c r="H171" s="223">
        <f>(G171/F171)*100</f>
        <v>100.27107684655559</v>
      </c>
    </row>
    <row r="172" spans="1:8" ht="15" customHeight="1">
      <c r="A172" s="50"/>
      <c r="B172" s="32"/>
      <c r="C172" s="50"/>
      <c r="D172" s="65"/>
      <c r="E172" s="51"/>
      <c r="F172" s="51"/>
      <c r="G172" s="10"/>
      <c r="H172" s="214"/>
    </row>
    <row r="173" spans="1:8" ht="14.25" customHeight="1">
      <c r="A173" s="32"/>
      <c r="B173" s="32"/>
      <c r="C173" s="32"/>
      <c r="D173" s="32"/>
      <c r="E173" s="33"/>
      <c r="F173" s="33"/>
      <c r="G173" s="33"/>
      <c r="H173" s="224"/>
    </row>
    <row r="174" spans="1:8" ht="14.25" customHeight="1" thickBot="1">
      <c r="A174" s="32"/>
      <c r="B174" s="32"/>
      <c r="C174" s="32"/>
      <c r="D174" s="32"/>
      <c r="E174" s="33"/>
      <c r="F174" s="33"/>
      <c r="G174" s="33"/>
      <c r="H174" s="224"/>
    </row>
    <row r="175" spans="1:8" ht="13.5" customHeight="1" hidden="1">
      <c r="A175" s="32"/>
      <c r="B175" s="32"/>
      <c r="C175" s="32"/>
      <c r="D175" s="32"/>
      <c r="E175" s="33"/>
      <c r="F175" s="33"/>
      <c r="G175" s="33"/>
      <c r="H175" s="224"/>
    </row>
    <row r="176" spans="1:8" ht="13.5" customHeight="1" hidden="1">
      <c r="A176" s="32"/>
      <c r="B176" s="32"/>
      <c r="C176" s="32"/>
      <c r="D176" s="32"/>
      <c r="E176" s="33"/>
      <c r="F176" s="33"/>
      <c r="G176" s="33"/>
      <c r="H176" s="224"/>
    </row>
    <row r="177" spans="1:8" ht="13.5" customHeight="1" hidden="1" thickBot="1">
      <c r="A177" s="32"/>
      <c r="B177" s="32"/>
      <c r="C177" s="32"/>
      <c r="D177" s="32"/>
      <c r="E177" s="33"/>
      <c r="F177" s="33"/>
      <c r="G177" s="33"/>
      <c r="H177" s="224"/>
    </row>
    <row r="178" spans="1:8" ht="15.75">
      <c r="A178" s="206" t="s">
        <v>25</v>
      </c>
      <c r="B178" s="206" t="s">
        <v>26</v>
      </c>
      <c r="C178" s="206" t="s">
        <v>27</v>
      </c>
      <c r="D178" s="207" t="s">
        <v>28</v>
      </c>
      <c r="E178" s="208" t="s">
        <v>29</v>
      </c>
      <c r="F178" s="208" t="s">
        <v>29</v>
      </c>
      <c r="G178" s="208" t="s">
        <v>7</v>
      </c>
      <c r="H178" s="218" t="s">
        <v>30</v>
      </c>
    </row>
    <row r="179" spans="1:8" ht="15.75" customHeight="1" thickBot="1">
      <c r="A179" s="209"/>
      <c r="B179" s="209"/>
      <c r="C179" s="209"/>
      <c r="D179" s="210"/>
      <c r="E179" s="211" t="s">
        <v>31</v>
      </c>
      <c r="F179" s="211" t="s">
        <v>32</v>
      </c>
      <c r="G179" s="212" t="s">
        <v>33</v>
      </c>
      <c r="H179" s="219" t="s">
        <v>34</v>
      </c>
    </row>
    <row r="180" spans="1:8" ht="15.75" customHeight="1" thickTop="1">
      <c r="A180" s="18">
        <v>60</v>
      </c>
      <c r="B180" s="18"/>
      <c r="C180" s="18"/>
      <c r="D180" s="19" t="s">
        <v>168</v>
      </c>
      <c r="E180" s="20"/>
      <c r="F180" s="20"/>
      <c r="G180" s="20"/>
      <c r="H180" s="220"/>
    </row>
    <row r="181" spans="1:8" ht="14.25" customHeight="1">
      <c r="A181" s="54"/>
      <c r="B181" s="54"/>
      <c r="C181" s="54"/>
      <c r="D181" s="54"/>
      <c r="E181" s="22"/>
      <c r="F181" s="22"/>
      <c r="G181" s="22"/>
      <c r="H181" s="221"/>
    </row>
    <row r="182" spans="1:8" ht="15" hidden="1">
      <c r="A182" s="21"/>
      <c r="B182" s="21"/>
      <c r="C182" s="21">
        <v>1332</v>
      </c>
      <c r="D182" s="21" t="s">
        <v>169</v>
      </c>
      <c r="E182" s="22"/>
      <c r="F182" s="22"/>
      <c r="G182" s="22"/>
      <c r="H182" s="221" t="e">
        <f>(#REF!/F182)*100</f>
        <v>#REF!</v>
      </c>
    </row>
    <row r="183" spans="1:8" ht="15">
      <c r="A183" s="21"/>
      <c r="B183" s="21"/>
      <c r="C183" s="21">
        <v>1333</v>
      </c>
      <c r="D183" s="21" t="s">
        <v>170</v>
      </c>
      <c r="E183" s="22">
        <v>500</v>
      </c>
      <c r="F183" s="22">
        <v>500</v>
      </c>
      <c r="G183" s="22">
        <v>380.8</v>
      </c>
      <c r="H183" s="221">
        <f aca="true" t="shared" si="4" ref="H183:H194">(G183/F183)*100</f>
        <v>76.16000000000001</v>
      </c>
    </row>
    <row r="184" spans="1:8" ht="15">
      <c r="A184" s="21"/>
      <c r="B184" s="21"/>
      <c r="C184" s="21">
        <v>1334</v>
      </c>
      <c r="D184" s="21" t="s">
        <v>171</v>
      </c>
      <c r="E184" s="22">
        <v>50</v>
      </c>
      <c r="F184" s="22">
        <v>50</v>
      </c>
      <c r="G184" s="22">
        <v>30.7</v>
      </c>
      <c r="H184" s="221">
        <f t="shared" si="4"/>
        <v>61.4</v>
      </c>
    </row>
    <row r="185" spans="1:8" ht="15">
      <c r="A185" s="21"/>
      <c r="B185" s="21"/>
      <c r="C185" s="21">
        <v>1335</v>
      </c>
      <c r="D185" s="21" t="s">
        <v>172</v>
      </c>
      <c r="E185" s="22">
        <v>6</v>
      </c>
      <c r="F185" s="22">
        <v>6</v>
      </c>
      <c r="G185" s="22">
        <v>13</v>
      </c>
      <c r="H185" s="221">
        <f t="shared" si="4"/>
        <v>216.66666666666666</v>
      </c>
    </row>
    <row r="186" spans="1:8" ht="15">
      <c r="A186" s="21"/>
      <c r="B186" s="21"/>
      <c r="C186" s="21">
        <v>1361</v>
      </c>
      <c r="D186" s="21" t="s">
        <v>37</v>
      </c>
      <c r="E186" s="22">
        <v>240</v>
      </c>
      <c r="F186" s="22">
        <v>240</v>
      </c>
      <c r="G186" s="22">
        <v>183.7</v>
      </c>
      <c r="H186" s="221">
        <f t="shared" si="4"/>
        <v>76.54166666666666</v>
      </c>
    </row>
    <row r="187" spans="1:8" ht="15" customHeight="1">
      <c r="A187" s="21">
        <v>29004</v>
      </c>
      <c r="B187" s="21"/>
      <c r="C187" s="21">
        <v>4116</v>
      </c>
      <c r="D187" s="21" t="s">
        <v>173</v>
      </c>
      <c r="E187" s="22">
        <v>0</v>
      </c>
      <c r="F187" s="22">
        <v>0</v>
      </c>
      <c r="G187" s="22">
        <v>68.3</v>
      </c>
      <c r="H187" s="221" t="e">
        <f t="shared" si="4"/>
        <v>#DIV/0!</v>
      </c>
    </row>
    <row r="188" spans="1:8" ht="15">
      <c r="A188" s="21">
        <v>29008</v>
      </c>
      <c r="B188" s="21"/>
      <c r="C188" s="21">
        <v>4116</v>
      </c>
      <c r="D188" s="21" t="s">
        <v>174</v>
      </c>
      <c r="E188" s="22">
        <v>0</v>
      </c>
      <c r="F188" s="22">
        <v>20.4</v>
      </c>
      <c r="G188" s="22">
        <v>45.1</v>
      </c>
      <c r="H188" s="221">
        <f t="shared" si="4"/>
        <v>221.07843137254903</v>
      </c>
    </row>
    <row r="189" spans="1:8" ht="15" hidden="1">
      <c r="A189" s="21">
        <v>29516</v>
      </c>
      <c r="B189" s="21"/>
      <c r="C189" s="21">
        <v>4216</v>
      </c>
      <c r="D189" s="21" t="s">
        <v>175</v>
      </c>
      <c r="E189" s="22"/>
      <c r="F189" s="22"/>
      <c r="G189" s="22"/>
      <c r="H189" s="221" t="e">
        <f t="shared" si="4"/>
        <v>#DIV/0!</v>
      </c>
    </row>
    <row r="190" spans="1:8" ht="15">
      <c r="A190" s="24"/>
      <c r="B190" s="24">
        <v>1014</v>
      </c>
      <c r="C190" s="24">
        <v>2132</v>
      </c>
      <c r="D190" s="24" t="s">
        <v>176</v>
      </c>
      <c r="E190" s="25">
        <v>24</v>
      </c>
      <c r="F190" s="25">
        <v>24</v>
      </c>
      <c r="G190" s="25">
        <v>12.4</v>
      </c>
      <c r="H190" s="221">
        <f t="shared" si="4"/>
        <v>51.66666666666667</v>
      </c>
    </row>
    <row r="191" spans="1:8" ht="15">
      <c r="A191" s="24"/>
      <c r="B191" s="24">
        <v>2119</v>
      </c>
      <c r="C191" s="24">
        <v>2343</v>
      </c>
      <c r="D191" s="24" t="s">
        <v>177</v>
      </c>
      <c r="E191" s="25">
        <v>12000</v>
      </c>
      <c r="F191" s="25">
        <v>12000</v>
      </c>
      <c r="G191" s="25">
        <v>7145.2</v>
      </c>
      <c r="H191" s="221">
        <f t="shared" si="4"/>
        <v>59.54333333333334</v>
      </c>
    </row>
    <row r="192" spans="1:8" ht="15">
      <c r="A192" s="24"/>
      <c r="B192" s="24">
        <v>3749</v>
      </c>
      <c r="C192" s="24">
        <v>2321</v>
      </c>
      <c r="D192" s="24" t="s">
        <v>178</v>
      </c>
      <c r="E192" s="25">
        <v>5</v>
      </c>
      <c r="F192" s="25">
        <v>5</v>
      </c>
      <c r="G192" s="25">
        <v>0</v>
      </c>
      <c r="H192" s="221">
        <f t="shared" si="4"/>
        <v>0</v>
      </c>
    </row>
    <row r="193" spans="1:8" ht="15">
      <c r="A193" s="21"/>
      <c r="B193" s="21">
        <v>6171</v>
      </c>
      <c r="C193" s="21">
        <v>2212</v>
      </c>
      <c r="D193" s="21" t="s">
        <v>142</v>
      </c>
      <c r="E193" s="22">
        <v>60</v>
      </c>
      <c r="F193" s="22">
        <v>60</v>
      </c>
      <c r="G193" s="22">
        <v>103.3</v>
      </c>
      <c r="H193" s="221">
        <f t="shared" si="4"/>
        <v>172.16666666666666</v>
      </c>
    </row>
    <row r="194" spans="1:8" ht="15">
      <c r="A194" s="21"/>
      <c r="B194" s="21">
        <v>6171</v>
      </c>
      <c r="C194" s="21">
        <v>2324</v>
      </c>
      <c r="D194" s="21" t="s">
        <v>179</v>
      </c>
      <c r="E194" s="22">
        <v>5</v>
      </c>
      <c r="F194" s="22">
        <v>5</v>
      </c>
      <c r="G194" s="22">
        <v>6</v>
      </c>
      <c r="H194" s="221">
        <f t="shared" si="4"/>
        <v>120</v>
      </c>
    </row>
    <row r="195" spans="1:8" ht="15" hidden="1">
      <c r="A195" s="21"/>
      <c r="B195" s="21">
        <v>6171</v>
      </c>
      <c r="C195" s="21">
        <v>2329</v>
      </c>
      <c r="D195" s="21" t="s">
        <v>180</v>
      </c>
      <c r="E195" s="22"/>
      <c r="F195" s="22"/>
      <c r="G195" s="22"/>
      <c r="H195" s="221"/>
    </row>
    <row r="196" spans="1:8" ht="15" customHeight="1" thickBot="1">
      <c r="A196" s="59"/>
      <c r="B196" s="59"/>
      <c r="C196" s="59"/>
      <c r="D196" s="59"/>
      <c r="E196" s="60"/>
      <c r="F196" s="60"/>
      <c r="G196" s="60"/>
      <c r="H196" s="227"/>
    </row>
    <row r="197" spans="1:8" s="32" customFormat="1" ht="21.75" customHeight="1" thickBot="1" thickTop="1">
      <c r="A197" s="62"/>
      <c r="B197" s="62"/>
      <c r="C197" s="62"/>
      <c r="D197" s="63" t="s">
        <v>181</v>
      </c>
      <c r="E197" s="64">
        <f>SUM(E181:E196)</f>
        <v>12890</v>
      </c>
      <c r="F197" s="64">
        <f>SUM(F181:F196)</f>
        <v>12910.4</v>
      </c>
      <c r="G197" s="64">
        <f>SUM(G181:G196)</f>
        <v>7988.5</v>
      </c>
      <c r="H197" s="223">
        <f>(G197/F197)*100</f>
        <v>61.876471681744945</v>
      </c>
    </row>
    <row r="198" spans="1:8" ht="14.25" customHeight="1">
      <c r="A198" s="50"/>
      <c r="B198" s="50"/>
      <c r="C198" s="50"/>
      <c r="D198" s="14"/>
      <c r="E198" s="51"/>
      <c r="F198" s="51"/>
      <c r="G198" s="51"/>
      <c r="H198" s="225"/>
    </row>
    <row r="199" spans="1:8" ht="14.25" customHeight="1" hidden="1">
      <c r="A199" s="50"/>
      <c r="B199" s="50"/>
      <c r="C199" s="50"/>
      <c r="D199" s="14"/>
      <c r="E199" s="51"/>
      <c r="F199" s="51"/>
      <c r="G199" s="51"/>
      <c r="H199" s="225"/>
    </row>
    <row r="200" spans="1:8" ht="14.25" customHeight="1" hidden="1">
      <c r="A200" s="50"/>
      <c r="B200" s="50"/>
      <c r="C200" s="50"/>
      <c r="D200" s="14"/>
      <c r="E200" s="51"/>
      <c r="F200" s="51"/>
      <c r="G200" s="51"/>
      <c r="H200" s="225"/>
    </row>
    <row r="201" spans="1:8" ht="14.25" customHeight="1" hidden="1">
      <c r="A201" s="50"/>
      <c r="B201" s="50"/>
      <c r="C201" s="50"/>
      <c r="D201" s="14"/>
      <c r="E201" s="51"/>
      <c r="F201" s="51"/>
      <c r="G201" s="51"/>
      <c r="H201" s="225"/>
    </row>
    <row r="202" spans="1:8" ht="15" customHeight="1">
      <c r="A202" s="50"/>
      <c r="B202" s="50"/>
      <c r="C202" s="50"/>
      <c r="D202" s="14"/>
      <c r="E202" s="51"/>
      <c r="F202" s="51"/>
      <c r="G202" s="51"/>
      <c r="H202" s="225"/>
    </row>
    <row r="203" spans="1:8" ht="15" customHeight="1" thickBot="1">
      <c r="A203" s="50"/>
      <c r="B203" s="50"/>
      <c r="C203" s="50"/>
      <c r="D203" s="14"/>
      <c r="E203" s="51"/>
      <c r="F203" s="51"/>
      <c r="G203" s="51"/>
      <c r="H203" s="225"/>
    </row>
    <row r="204" spans="1:8" ht="15.75">
      <c r="A204" s="206" t="s">
        <v>25</v>
      </c>
      <c r="B204" s="206" t="s">
        <v>26</v>
      </c>
      <c r="C204" s="206" t="s">
        <v>27</v>
      </c>
      <c r="D204" s="207" t="s">
        <v>28</v>
      </c>
      <c r="E204" s="208" t="s">
        <v>29</v>
      </c>
      <c r="F204" s="208" t="s">
        <v>29</v>
      </c>
      <c r="G204" s="208" t="s">
        <v>7</v>
      </c>
      <c r="H204" s="218" t="s">
        <v>30</v>
      </c>
    </row>
    <row r="205" spans="1:8" ht="15.75" customHeight="1" thickBot="1">
      <c r="A205" s="209"/>
      <c r="B205" s="209"/>
      <c r="C205" s="209"/>
      <c r="D205" s="210"/>
      <c r="E205" s="211" t="s">
        <v>31</v>
      </c>
      <c r="F205" s="211" t="s">
        <v>32</v>
      </c>
      <c r="G205" s="212" t="s">
        <v>33</v>
      </c>
      <c r="H205" s="219" t="s">
        <v>34</v>
      </c>
    </row>
    <row r="206" spans="1:8" ht="15.75" customHeight="1" thickTop="1">
      <c r="A206" s="18">
        <v>80</v>
      </c>
      <c r="B206" s="18"/>
      <c r="C206" s="18"/>
      <c r="D206" s="19" t="s">
        <v>182</v>
      </c>
      <c r="E206" s="20"/>
      <c r="F206" s="20"/>
      <c r="G206" s="20"/>
      <c r="H206" s="220"/>
    </row>
    <row r="207" spans="1:8" ht="15">
      <c r="A207" s="21"/>
      <c r="B207" s="21"/>
      <c r="C207" s="21"/>
      <c r="D207" s="21"/>
      <c r="E207" s="22"/>
      <c r="F207" s="22"/>
      <c r="G207" s="22"/>
      <c r="H207" s="221"/>
    </row>
    <row r="208" spans="1:8" ht="15">
      <c r="A208" s="21"/>
      <c r="B208" s="21"/>
      <c r="C208" s="21">
        <v>1353</v>
      </c>
      <c r="D208" s="21" t="s">
        <v>183</v>
      </c>
      <c r="E208" s="22">
        <v>750</v>
      </c>
      <c r="F208" s="22">
        <v>750</v>
      </c>
      <c r="G208" s="22">
        <v>379.5</v>
      </c>
      <c r="H208" s="221">
        <f aca="true" t="shared" si="5" ref="H208:H218">(G208/F208)*100</f>
        <v>50.6</v>
      </c>
    </row>
    <row r="209" spans="1:8" ht="15">
      <c r="A209" s="21"/>
      <c r="B209" s="21"/>
      <c r="C209" s="21">
        <v>1359</v>
      </c>
      <c r="D209" s="21" t="s">
        <v>184</v>
      </c>
      <c r="E209" s="22">
        <v>0</v>
      </c>
      <c r="F209" s="22">
        <v>0</v>
      </c>
      <c r="G209" s="22">
        <v>-109.5</v>
      </c>
      <c r="H209" s="221" t="e">
        <f t="shared" si="5"/>
        <v>#DIV/0!</v>
      </c>
    </row>
    <row r="210" spans="1:8" ht="15">
      <c r="A210" s="21"/>
      <c r="B210" s="21"/>
      <c r="C210" s="21">
        <v>1361</v>
      </c>
      <c r="D210" s="21" t="s">
        <v>37</v>
      </c>
      <c r="E210" s="22">
        <v>7000</v>
      </c>
      <c r="F210" s="22">
        <v>7000</v>
      </c>
      <c r="G210" s="22">
        <v>3826</v>
      </c>
      <c r="H210" s="221">
        <f t="shared" si="5"/>
        <v>54.65714285714286</v>
      </c>
    </row>
    <row r="211" spans="1:8" ht="15">
      <c r="A211" s="21"/>
      <c r="B211" s="21"/>
      <c r="C211" s="21">
        <v>4121</v>
      </c>
      <c r="D211" s="21" t="s">
        <v>185</v>
      </c>
      <c r="E211" s="25">
        <v>250</v>
      </c>
      <c r="F211" s="25">
        <v>250</v>
      </c>
      <c r="G211" s="25">
        <v>68</v>
      </c>
      <c r="H211" s="221">
        <f t="shared" si="5"/>
        <v>27.200000000000003</v>
      </c>
    </row>
    <row r="212" spans="1:8" ht="15" hidden="1">
      <c r="A212" s="21">
        <v>222</v>
      </c>
      <c r="B212" s="21"/>
      <c r="C212" s="21">
        <v>4122</v>
      </c>
      <c r="D212" s="21" t="s">
        <v>186</v>
      </c>
      <c r="E212" s="25"/>
      <c r="F212" s="25"/>
      <c r="G212" s="25"/>
      <c r="H212" s="221" t="e">
        <f t="shared" si="5"/>
        <v>#DIV/0!</v>
      </c>
    </row>
    <row r="213" spans="1:8" ht="15" hidden="1">
      <c r="A213" s="21"/>
      <c r="B213" s="21">
        <v>2169</v>
      </c>
      <c r="C213" s="21">
        <v>2212</v>
      </c>
      <c r="D213" s="21" t="s">
        <v>187</v>
      </c>
      <c r="E213" s="25"/>
      <c r="F213" s="25"/>
      <c r="G213" s="25"/>
      <c r="H213" s="221" t="e">
        <f t="shared" si="5"/>
        <v>#DIV/0!</v>
      </c>
    </row>
    <row r="214" spans="1:8" ht="15" hidden="1">
      <c r="A214" s="21"/>
      <c r="B214" s="21">
        <v>2219</v>
      </c>
      <c r="C214" s="21">
        <v>2324</v>
      </c>
      <c r="D214" s="21" t="s">
        <v>188</v>
      </c>
      <c r="E214" s="22"/>
      <c r="F214" s="22"/>
      <c r="G214" s="22"/>
      <c r="H214" s="221" t="e">
        <f t="shared" si="5"/>
        <v>#DIV/0!</v>
      </c>
    </row>
    <row r="215" spans="1:8" ht="15">
      <c r="A215" s="21"/>
      <c r="B215" s="21">
        <v>2219</v>
      </c>
      <c r="C215" s="21">
        <v>2329</v>
      </c>
      <c r="D215" s="21" t="s">
        <v>189</v>
      </c>
      <c r="E215" s="22">
        <v>4800</v>
      </c>
      <c r="F215" s="22">
        <v>4800</v>
      </c>
      <c r="G215" s="22">
        <v>2572.6</v>
      </c>
      <c r="H215" s="221">
        <f t="shared" si="5"/>
        <v>53.59583333333333</v>
      </c>
    </row>
    <row r="216" spans="1:8" ht="15">
      <c r="A216" s="21"/>
      <c r="B216" s="21">
        <v>2299</v>
      </c>
      <c r="C216" s="21">
        <v>2212</v>
      </c>
      <c r="D216" s="21" t="s">
        <v>190</v>
      </c>
      <c r="E216" s="22">
        <v>0</v>
      </c>
      <c r="F216" s="22">
        <v>0</v>
      </c>
      <c r="G216" s="22">
        <v>2411.4</v>
      </c>
      <c r="H216" s="221" t="e">
        <f t="shared" si="5"/>
        <v>#DIV/0!</v>
      </c>
    </row>
    <row r="217" spans="1:8" ht="15">
      <c r="A217" s="21"/>
      <c r="B217" s="21">
        <v>6171</v>
      </c>
      <c r="C217" s="21">
        <v>2212</v>
      </c>
      <c r="D217" s="21" t="s">
        <v>191</v>
      </c>
      <c r="E217" s="22">
        <v>2200</v>
      </c>
      <c r="F217" s="22">
        <v>2200</v>
      </c>
      <c r="G217" s="22">
        <v>0</v>
      </c>
      <c r="H217" s="221">
        <f t="shared" si="5"/>
        <v>0</v>
      </c>
    </row>
    <row r="218" spans="1:8" ht="15">
      <c r="A218" s="24"/>
      <c r="B218" s="24">
        <v>6171</v>
      </c>
      <c r="C218" s="24">
        <v>2324</v>
      </c>
      <c r="D218" s="24" t="s">
        <v>188</v>
      </c>
      <c r="E218" s="25">
        <v>200</v>
      </c>
      <c r="F218" s="25">
        <v>200</v>
      </c>
      <c r="G218" s="25">
        <v>239.3</v>
      </c>
      <c r="H218" s="221">
        <f t="shared" si="5"/>
        <v>119.65</v>
      </c>
    </row>
    <row r="219" spans="1:8" ht="15" hidden="1">
      <c r="A219" s="24"/>
      <c r="B219" s="24">
        <v>6171</v>
      </c>
      <c r="C219" s="24">
        <v>2329</v>
      </c>
      <c r="D219" s="24" t="s">
        <v>192</v>
      </c>
      <c r="E219" s="26"/>
      <c r="F219" s="26"/>
      <c r="G219" s="25"/>
      <c r="H219" s="221" t="e">
        <f>(#REF!/F219)*100</f>
        <v>#REF!</v>
      </c>
    </row>
    <row r="220" spans="1:8" ht="15.75" thickBot="1">
      <c r="A220" s="59"/>
      <c r="B220" s="59"/>
      <c r="C220" s="59"/>
      <c r="D220" s="59"/>
      <c r="E220" s="60"/>
      <c r="F220" s="60"/>
      <c r="G220" s="60"/>
      <c r="H220" s="227"/>
    </row>
    <row r="221" spans="1:8" s="32" customFormat="1" ht="21.75" customHeight="1" thickBot="1" thickTop="1">
      <c r="A221" s="62"/>
      <c r="B221" s="62"/>
      <c r="C221" s="62"/>
      <c r="D221" s="63" t="s">
        <v>193</v>
      </c>
      <c r="E221" s="64">
        <f>SUM(E207:E220)</f>
        <v>15200</v>
      </c>
      <c r="F221" s="64">
        <f>SUM(F207:F220)</f>
        <v>15200</v>
      </c>
      <c r="G221" s="64">
        <f>SUM(G207:G220)</f>
        <v>9387.3</v>
      </c>
      <c r="H221" s="223">
        <f>(G221/F221)*100</f>
        <v>61.758552631578944</v>
      </c>
    </row>
    <row r="222" spans="1:8" ht="15" customHeight="1">
      <c r="A222" s="50"/>
      <c r="B222" s="50"/>
      <c r="C222" s="50"/>
      <c r="D222" s="14"/>
      <c r="E222" s="51"/>
      <c r="F222" s="51"/>
      <c r="G222" s="51"/>
      <c r="H222" s="225"/>
    </row>
    <row r="223" spans="1:8" ht="15" customHeight="1" hidden="1">
      <c r="A223" s="50"/>
      <c r="B223" s="50"/>
      <c r="C223" s="50"/>
      <c r="D223" s="14"/>
      <c r="E223" s="51"/>
      <c r="F223" s="51"/>
      <c r="G223" s="51"/>
      <c r="H223" s="225"/>
    </row>
    <row r="224" spans="1:8" ht="15" customHeight="1">
      <c r="A224" s="50"/>
      <c r="B224" s="50"/>
      <c r="C224" s="50"/>
      <c r="D224" s="14"/>
      <c r="E224" s="51"/>
      <c r="F224" s="51"/>
      <c r="G224" s="51"/>
      <c r="H224" s="225"/>
    </row>
    <row r="225" spans="1:8" ht="15" customHeight="1" thickBot="1">
      <c r="A225" s="50"/>
      <c r="B225" s="50"/>
      <c r="C225" s="50"/>
      <c r="D225" s="14"/>
      <c r="E225" s="51"/>
      <c r="F225" s="51"/>
      <c r="G225" s="51"/>
      <c r="H225" s="225"/>
    </row>
    <row r="226" spans="1:8" ht="15.75">
      <c r="A226" s="206" t="s">
        <v>25</v>
      </c>
      <c r="B226" s="206" t="s">
        <v>26</v>
      </c>
      <c r="C226" s="206" t="s">
        <v>27</v>
      </c>
      <c r="D226" s="207" t="s">
        <v>28</v>
      </c>
      <c r="E226" s="208" t="s">
        <v>29</v>
      </c>
      <c r="F226" s="208" t="s">
        <v>29</v>
      </c>
      <c r="G226" s="208" t="s">
        <v>7</v>
      </c>
      <c r="H226" s="218" t="s">
        <v>30</v>
      </c>
    </row>
    <row r="227" spans="1:8" ht="15.75" customHeight="1" thickBot="1">
      <c r="A227" s="209"/>
      <c r="B227" s="209"/>
      <c r="C227" s="209"/>
      <c r="D227" s="210"/>
      <c r="E227" s="211" t="s">
        <v>31</v>
      </c>
      <c r="F227" s="211" t="s">
        <v>32</v>
      </c>
      <c r="G227" s="212" t="s">
        <v>33</v>
      </c>
      <c r="H227" s="219" t="s">
        <v>34</v>
      </c>
    </row>
    <row r="228" spans="1:8" ht="16.5" customHeight="1" thickTop="1">
      <c r="A228" s="18">
        <v>90</v>
      </c>
      <c r="B228" s="18"/>
      <c r="C228" s="18"/>
      <c r="D228" s="19" t="s">
        <v>194</v>
      </c>
      <c r="E228" s="20"/>
      <c r="F228" s="20"/>
      <c r="G228" s="20"/>
      <c r="H228" s="220"/>
    </row>
    <row r="229" spans="1:8" ht="15.75">
      <c r="A229" s="18"/>
      <c r="B229" s="18"/>
      <c r="C229" s="18"/>
      <c r="D229" s="19"/>
      <c r="E229" s="20"/>
      <c r="F229" s="20"/>
      <c r="G229" s="20"/>
      <c r="H229" s="220"/>
    </row>
    <row r="230" spans="1:8" ht="15">
      <c r="A230" s="27"/>
      <c r="B230" s="27"/>
      <c r="C230" s="27">
        <v>4121</v>
      </c>
      <c r="D230" s="27" t="s">
        <v>195</v>
      </c>
      <c r="E230" s="66">
        <v>300</v>
      </c>
      <c r="F230" s="66">
        <v>300</v>
      </c>
      <c r="G230" s="66">
        <v>200</v>
      </c>
      <c r="H230" s="221">
        <f aca="true" t="shared" si="6" ref="H230:H237">(G230/F230)*100</f>
        <v>66.66666666666666</v>
      </c>
    </row>
    <row r="231" spans="1:8" ht="15">
      <c r="A231" s="21"/>
      <c r="B231" s="21">
        <v>5311</v>
      </c>
      <c r="C231" s="21">
        <v>2111</v>
      </c>
      <c r="D231" s="21" t="s">
        <v>64</v>
      </c>
      <c r="E231" s="67">
        <v>650</v>
      </c>
      <c r="F231" s="67">
        <v>650</v>
      </c>
      <c r="G231" s="67">
        <v>222.7</v>
      </c>
      <c r="H231" s="221">
        <f t="shared" si="6"/>
        <v>34.26153846153846</v>
      </c>
    </row>
    <row r="232" spans="1:8" ht="15">
      <c r="A232" s="21"/>
      <c r="B232" s="21">
        <v>5311</v>
      </c>
      <c r="C232" s="21">
        <v>2212</v>
      </c>
      <c r="D232" s="21" t="s">
        <v>196</v>
      </c>
      <c r="E232" s="68">
        <v>1850</v>
      </c>
      <c r="F232" s="68">
        <v>1850</v>
      </c>
      <c r="G232" s="68">
        <v>428.6</v>
      </c>
      <c r="H232" s="221">
        <f t="shared" si="6"/>
        <v>23.167567567567566</v>
      </c>
    </row>
    <row r="233" spans="1:8" ht="15" hidden="1">
      <c r="A233" s="24"/>
      <c r="B233" s="24">
        <v>5311</v>
      </c>
      <c r="C233" s="24">
        <v>2310</v>
      </c>
      <c r="D233" s="24" t="s">
        <v>197</v>
      </c>
      <c r="E233" s="25"/>
      <c r="F233" s="25"/>
      <c r="G233" s="25"/>
      <c r="H233" s="221" t="e">
        <f t="shared" si="6"/>
        <v>#DIV/0!</v>
      </c>
    </row>
    <row r="234" spans="1:8" ht="15">
      <c r="A234" s="24"/>
      <c r="B234" s="24">
        <v>5311</v>
      </c>
      <c r="C234" s="24">
        <v>2322</v>
      </c>
      <c r="D234" s="24" t="s">
        <v>198</v>
      </c>
      <c r="E234" s="25">
        <v>0</v>
      </c>
      <c r="F234" s="25">
        <v>0</v>
      </c>
      <c r="G234" s="25">
        <v>0.7</v>
      </c>
      <c r="H234" s="221" t="e">
        <f t="shared" si="6"/>
        <v>#DIV/0!</v>
      </c>
    </row>
    <row r="235" spans="1:8" ht="15">
      <c r="A235" s="21"/>
      <c r="B235" s="21">
        <v>5311</v>
      </c>
      <c r="C235" s="21">
        <v>2324</v>
      </c>
      <c r="D235" s="21" t="s">
        <v>199</v>
      </c>
      <c r="E235" s="22">
        <v>0</v>
      </c>
      <c r="F235" s="22">
        <v>110</v>
      </c>
      <c r="G235" s="22">
        <v>120.9</v>
      </c>
      <c r="H235" s="221">
        <f t="shared" si="6"/>
        <v>109.9090909090909</v>
      </c>
    </row>
    <row r="236" spans="1:8" ht="15">
      <c r="A236" s="24"/>
      <c r="B236" s="24">
        <v>5311</v>
      </c>
      <c r="C236" s="24">
        <v>2329</v>
      </c>
      <c r="D236" s="24" t="s">
        <v>180</v>
      </c>
      <c r="E236" s="25">
        <v>0</v>
      </c>
      <c r="F236" s="25">
        <v>0</v>
      </c>
      <c r="G236" s="25">
        <v>0.5</v>
      </c>
      <c r="H236" s="221" t="e">
        <f t="shared" si="6"/>
        <v>#DIV/0!</v>
      </c>
    </row>
    <row r="237" spans="1:8" ht="15">
      <c r="A237" s="24"/>
      <c r="B237" s="24">
        <v>5311</v>
      </c>
      <c r="C237" s="24">
        <v>3113</v>
      </c>
      <c r="D237" s="24" t="s">
        <v>197</v>
      </c>
      <c r="E237" s="25">
        <v>0</v>
      </c>
      <c r="F237" s="25">
        <v>0</v>
      </c>
      <c r="G237" s="25">
        <v>20</v>
      </c>
      <c r="H237" s="221" t="e">
        <f t="shared" si="6"/>
        <v>#DIV/0!</v>
      </c>
    </row>
    <row r="238" spans="1:8" ht="15" hidden="1">
      <c r="A238" s="24"/>
      <c r="B238" s="24">
        <v>6409</v>
      </c>
      <c r="C238" s="24">
        <v>2328</v>
      </c>
      <c r="D238" s="24" t="s">
        <v>200</v>
      </c>
      <c r="E238" s="25">
        <v>0</v>
      </c>
      <c r="F238" s="25">
        <v>0</v>
      </c>
      <c r="G238" s="25"/>
      <c r="H238" s="221" t="e">
        <f>(#REF!/F238)*100</f>
        <v>#REF!</v>
      </c>
    </row>
    <row r="239" spans="1:8" ht="15.75" thickBot="1">
      <c r="A239" s="59"/>
      <c r="B239" s="59"/>
      <c r="C239" s="59"/>
      <c r="D239" s="59"/>
      <c r="E239" s="60"/>
      <c r="F239" s="60"/>
      <c r="G239" s="60"/>
      <c r="H239" s="227"/>
    </row>
    <row r="240" spans="1:8" s="32" customFormat="1" ht="21.75" customHeight="1" thickBot="1" thickTop="1">
      <c r="A240" s="62"/>
      <c r="B240" s="62"/>
      <c r="C240" s="62"/>
      <c r="D240" s="63" t="s">
        <v>201</v>
      </c>
      <c r="E240" s="64">
        <f>SUM(E230:E239)</f>
        <v>2800</v>
      </c>
      <c r="F240" s="64">
        <f>SUM(F230:F239)</f>
        <v>2910</v>
      </c>
      <c r="G240" s="64">
        <f>SUM(G230:G239)</f>
        <v>993.4</v>
      </c>
      <c r="H240" s="223">
        <f>(G240/F240)*100</f>
        <v>34.13745704467354</v>
      </c>
    </row>
    <row r="241" spans="1:8" ht="15" customHeight="1">
      <c r="A241" s="50"/>
      <c r="B241" s="50"/>
      <c r="C241" s="50"/>
      <c r="D241" s="14"/>
      <c r="E241" s="51"/>
      <c r="F241" s="51"/>
      <c r="G241" s="51"/>
      <c r="H241" s="225"/>
    </row>
    <row r="242" spans="1:8" ht="15" customHeight="1" hidden="1">
      <c r="A242" s="50"/>
      <c r="B242" s="50"/>
      <c r="C242" s="50"/>
      <c r="D242" s="14"/>
      <c r="E242" s="51"/>
      <c r="F242" s="51"/>
      <c r="G242" s="51"/>
      <c r="H242" s="225"/>
    </row>
    <row r="243" spans="1:8" ht="15" customHeight="1" hidden="1">
      <c r="A243" s="50"/>
      <c r="B243" s="50"/>
      <c r="C243" s="50"/>
      <c r="D243" s="14"/>
      <c r="E243" s="51"/>
      <c r="F243" s="51"/>
      <c r="G243" s="51"/>
      <c r="H243" s="225"/>
    </row>
    <row r="244" spans="1:8" ht="15" customHeight="1" hidden="1">
      <c r="A244" s="50"/>
      <c r="B244" s="50"/>
      <c r="C244" s="50"/>
      <c r="D244" s="14"/>
      <c r="E244" s="51"/>
      <c r="F244" s="51"/>
      <c r="G244" s="51"/>
      <c r="H244" s="225"/>
    </row>
    <row r="245" spans="1:8" ht="15" customHeight="1" hidden="1">
      <c r="A245" s="50"/>
      <c r="B245" s="50"/>
      <c r="C245" s="50"/>
      <c r="D245" s="14"/>
      <c r="E245" s="51"/>
      <c r="F245" s="51"/>
      <c r="G245" s="51"/>
      <c r="H245" s="225"/>
    </row>
    <row r="246" spans="1:8" ht="15" customHeight="1" hidden="1">
      <c r="A246" s="50"/>
      <c r="B246" s="50"/>
      <c r="C246" s="50"/>
      <c r="D246" s="14"/>
      <c r="E246" s="51"/>
      <c r="F246" s="51"/>
      <c r="G246" s="51"/>
      <c r="H246" s="225"/>
    </row>
    <row r="247" spans="1:8" ht="15" customHeight="1" hidden="1">
      <c r="A247" s="50"/>
      <c r="B247" s="50"/>
      <c r="C247" s="50"/>
      <c r="D247" s="14"/>
      <c r="E247" s="51"/>
      <c r="F247" s="51"/>
      <c r="G247" s="51"/>
      <c r="H247" s="225"/>
    </row>
    <row r="248" spans="1:8" ht="15" customHeight="1">
      <c r="A248" s="50"/>
      <c r="B248" s="50"/>
      <c r="C248" s="50"/>
      <c r="D248" s="14"/>
      <c r="E248" s="51"/>
      <c r="F248" s="51"/>
      <c r="G248" s="10"/>
      <c r="H248" s="214"/>
    </row>
    <row r="249" spans="1:8" ht="15" customHeight="1" thickBot="1">
      <c r="A249" s="50"/>
      <c r="B249" s="50"/>
      <c r="C249" s="50"/>
      <c r="D249" s="14"/>
      <c r="E249" s="51"/>
      <c r="F249" s="51"/>
      <c r="G249" s="51"/>
      <c r="H249" s="225"/>
    </row>
    <row r="250" spans="1:8" ht="15.75">
      <c r="A250" s="206" t="s">
        <v>25</v>
      </c>
      <c r="B250" s="206" t="s">
        <v>26</v>
      </c>
      <c r="C250" s="206" t="s">
        <v>27</v>
      </c>
      <c r="D250" s="207" t="s">
        <v>28</v>
      </c>
      <c r="E250" s="208" t="s">
        <v>29</v>
      </c>
      <c r="F250" s="208" t="s">
        <v>29</v>
      </c>
      <c r="G250" s="208" t="s">
        <v>7</v>
      </c>
      <c r="H250" s="218" t="s">
        <v>30</v>
      </c>
    </row>
    <row r="251" spans="1:8" ht="15.75" customHeight="1" thickBot="1">
      <c r="A251" s="209"/>
      <c r="B251" s="209"/>
      <c r="C251" s="209"/>
      <c r="D251" s="210"/>
      <c r="E251" s="211" t="s">
        <v>31</v>
      </c>
      <c r="F251" s="211" t="s">
        <v>32</v>
      </c>
      <c r="G251" s="212" t="s">
        <v>33</v>
      </c>
      <c r="H251" s="219" t="s">
        <v>34</v>
      </c>
    </row>
    <row r="252" spans="1:8" ht="15.75" customHeight="1" thickTop="1">
      <c r="A252" s="18">
        <v>100</v>
      </c>
      <c r="B252" s="18"/>
      <c r="C252" s="18"/>
      <c r="D252" s="69" t="s">
        <v>202</v>
      </c>
      <c r="E252" s="20"/>
      <c r="F252" s="20"/>
      <c r="G252" s="20"/>
      <c r="H252" s="220"/>
    </row>
    <row r="253" spans="1:8" ht="15">
      <c r="A253" s="21"/>
      <c r="B253" s="21"/>
      <c r="C253" s="21"/>
      <c r="D253" s="21"/>
      <c r="E253" s="22"/>
      <c r="F253" s="22"/>
      <c r="G253" s="22"/>
      <c r="H253" s="221"/>
    </row>
    <row r="254" spans="1:8" ht="15">
      <c r="A254" s="21"/>
      <c r="B254" s="21"/>
      <c r="C254" s="21">
        <v>1361</v>
      </c>
      <c r="D254" s="21" t="s">
        <v>37</v>
      </c>
      <c r="E254" s="22">
        <v>1700</v>
      </c>
      <c r="F254" s="22">
        <v>1700</v>
      </c>
      <c r="G254" s="22">
        <v>1067.9</v>
      </c>
      <c r="H254" s="221">
        <f>(G254/F254)*100</f>
        <v>62.81764705882353</v>
      </c>
    </row>
    <row r="255" spans="1:8" ht="15.75" hidden="1">
      <c r="A255" s="54"/>
      <c r="B255" s="54"/>
      <c r="C255" s="21">
        <v>4216</v>
      </c>
      <c r="D255" s="21" t="s">
        <v>203</v>
      </c>
      <c r="E255" s="22"/>
      <c r="F255" s="22"/>
      <c r="G255" s="22"/>
      <c r="H255" s="221" t="e">
        <f>(G255/F255)*100</f>
        <v>#DIV/0!</v>
      </c>
    </row>
    <row r="256" spans="1:8" ht="15">
      <c r="A256" s="21"/>
      <c r="B256" s="21">
        <v>2169</v>
      </c>
      <c r="C256" s="21">
        <v>2212</v>
      </c>
      <c r="D256" s="21" t="s">
        <v>196</v>
      </c>
      <c r="E256" s="22">
        <v>500</v>
      </c>
      <c r="F256" s="22">
        <v>500</v>
      </c>
      <c r="G256" s="22">
        <v>274.8</v>
      </c>
      <c r="H256" s="221">
        <f>(G256/F256)*100</f>
        <v>54.96</v>
      </c>
    </row>
    <row r="257" spans="1:8" ht="15" hidden="1">
      <c r="A257" s="24"/>
      <c r="B257" s="24">
        <v>3635</v>
      </c>
      <c r="C257" s="24">
        <v>3122</v>
      </c>
      <c r="D257" s="21" t="s">
        <v>204</v>
      </c>
      <c r="E257" s="22">
        <v>0</v>
      </c>
      <c r="F257" s="22">
        <v>0</v>
      </c>
      <c r="G257" s="22"/>
      <c r="H257" s="221" t="e">
        <f>(G257/F257)*100</f>
        <v>#DIV/0!</v>
      </c>
    </row>
    <row r="258" spans="1:8" ht="15">
      <c r="A258" s="24"/>
      <c r="B258" s="24">
        <v>6171</v>
      </c>
      <c r="C258" s="24">
        <v>2324</v>
      </c>
      <c r="D258" s="21" t="s">
        <v>205</v>
      </c>
      <c r="E258" s="28">
        <v>40</v>
      </c>
      <c r="F258" s="28">
        <v>40</v>
      </c>
      <c r="G258" s="28">
        <v>42.5</v>
      </c>
      <c r="H258" s="221">
        <f>(G258/F258)*100</f>
        <v>106.25</v>
      </c>
    </row>
    <row r="259" spans="1:8" ht="15" customHeight="1" thickBot="1">
      <c r="A259" s="59"/>
      <c r="B259" s="59"/>
      <c r="C259" s="59"/>
      <c r="D259" s="59"/>
      <c r="E259" s="60"/>
      <c r="F259" s="60"/>
      <c r="G259" s="60"/>
      <c r="H259" s="227"/>
    </row>
    <row r="260" spans="1:8" s="32" customFormat="1" ht="21.75" customHeight="1" thickBot="1" thickTop="1">
      <c r="A260" s="62"/>
      <c r="B260" s="62"/>
      <c r="C260" s="62"/>
      <c r="D260" s="63" t="s">
        <v>206</v>
      </c>
      <c r="E260" s="64">
        <f>SUM(E252:E258)</f>
        <v>2240</v>
      </c>
      <c r="F260" s="64">
        <f>SUM(F252:F258)</f>
        <v>2240</v>
      </c>
      <c r="G260" s="64">
        <f>SUM(G252:G258)</f>
        <v>1385.2</v>
      </c>
      <c r="H260" s="223">
        <f>(G260/F260)*100</f>
        <v>61.83928571428572</v>
      </c>
    </row>
    <row r="261" spans="1:8" ht="15" customHeight="1" thickBot="1">
      <c r="A261" s="50"/>
      <c r="B261" s="50"/>
      <c r="C261" s="50"/>
      <c r="D261" s="14"/>
      <c r="E261" s="51"/>
      <c r="F261" s="51"/>
      <c r="G261" s="51"/>
      <c r="H261" s="225"/>
    </row>
    <row r="262" spans="1:8" ht="15" customHeight="1" hidden="1">
      <c r="A262" s="50"/>
      <c r="B262" s="50"/>
      <c r="C262" s="50"/>
      <c r="D262" s="14"/>
      <c r="E262" s="51"/>
      <c r="F262" s="51"/>
      <c r="G262" s="51"/>
      <c r="H262" s="225"/>
    </row>
    <row r="263" spans="1:8" ht="15" customHeight="1" hidden="1">
      <c r="A263" s="50"/>
      <c r="B263" s="50"/>
      <c r="C263" s="50"/>
      <c r="D263" s="14"/>
      <c r="E263" s="51"/>
      <c r="F263" s="51"/>
      <c r="G263" s="51"/>
      <c r="H263" s="225"/>
    </row>
    <row r="264" spans="1:8" ht="15" customHeight="1" hidden="1" thickBot="1">
      <c r="A264" s="50"/>
      <c r="B264" s="50"/>
      <c r="C264" s="50"/>
      <c r="D264" s="14"/>
      <c r="E264" s="51"/>
      <c r="F264" s="51"/>
      <c r="G264" s="51"/>
      <c r="H264" s="225"/>
    </row>
    <row r="265" spans="1:8" ht="15.75">
      <c r="A265" s="206" t="s">
        <v>25</v>
      </c>
      <c r="B265" s="206" t="s">
        <v>26</v>
      </c>
      <c r="C265" s="206" t="s">
        <v>27</v>
      </c>
      <c r="D265" s="207" t="s">
        <v>28</v>
      </c>
      <c r="E265" s="208" t="s">
        <v>29</v>
      </c>
      <c r="F265" s="208" t="s">
        <v>29</v>
      </c>
      <c r="G265" s="208" t="s">
        <v>7</v>
      </c>
      <c r="H265" s="218" t="s">
        <v>30</v>
      </c>
    </row>
    <row r="266" spans="1:8" ht="15.75" customHeight="1" thickBot="1">
      <c r="A266" s="209"/>
      <c r="B266" s="209"/>
      <c r="C266" s="209"/>
      <c r="D266" s="210"/>
      <c r="E266" s="211" t="s">
        <v>31</v>
      </c>
      <c r="F266" s="211" t="s">
        <v>32</v>
      </c>
      <c r="G266" s="212" t="s">
        <v>33</v>
      </c>
      <c r="H266" s="219" t="s">
        <v>34</v>
      </c>
    </row>
    <row r="267" spans="1:8" ht="15.75" customHeight="1" thickTop="1">
      <c r="A267" s="70">
        <v>110</v>
      </c>
      <c r="B267" s="54"/>
      <c r="C267" s="54"/>
      <c r="D267" s="54" t="s">
        <v>207</v>
      </c>
      <c r="E267" s="20"/>
      <c r="F267" s="20"/>
      <c r="G267" s="20"/>
      <c r="H267" s="220"/>
    </row>
    <row r="268" spans="1:8" ht="15.75">
      <c r="A268" s="70"/>
      <c r="B268" s="54"/>
      <c r="C268" s="54"/>
      <c r="D268" s="54"/>
      <c r="E268" s="20"/>
      <c r="F268" s="20"/>
      <c r="G268" s="20"/>
      <c r="H268" s="220"/>
    </row>
    <row r="269" spans="1:8" ht="15">
      <c r="A269" s="21"/>
      <c r="B269" s="21"/>
      <c r="C269" s="21">
        <v>1111</v>
      </c>
      <c r="D269" s="21" t="s">
        <v>208</v>
      </c>
      <c r="E269" s="57">
        <v>48000</v>
      </c>
      <c r="F269" s="57">
        <v>48000</v>
      </c>
      <c r="G269" s="57">
        <v>27155.5</v>
      </c>
      <c r="H269" s="221">
        <f aca="true" t="shared" si="7" ref="H269:H293">(G269/F269)*100</f>
        <v>56.57395833333333</v>
      </c>
    </row>
    <row r="270" spans="1:8" ht="15">
      <c r="A270" s="21"/>
      <c r="B270" s="21"/>
      <c r="C270" s="21">
        <v>1112</v>
      </c>
      <c r="D270" s="21" t="s">
        <v>209</v>
      </c>
      <c r="E270" s="56">
        <v>6000</v>
      </c>
      <c r="F270" s="56">
        <v>6000</v>
      </c>
      <c r="G270" s="56">
        <v>2275.5</v>
      </c>
      <c r="H270" s="221">
        <f t="shared" si="7"/>
        <v>37.925</v>
      </c>
    </row>
    <row r="271" spans="1:8" ht="15">
      <c r="A271" s="21"/>
      <c r="B271" s="21"/>
      <c r="C271" s="21">
        <v>1113</v>
      </c>
      <c r="D271" s="21" t="s">
        <v>210</v>
      </c>
      <c r="E271" s="56">
        <v>4700</v>
      </c>
      <c r="F271" s="56">
        <v>4700</v>
      </c>
      <c r="G271" s="56">
        <v>2765.7</v>
      </c>
      <c r="H271" s="221">
        <f t="shared" si="7"/>
        <v>58.84468085106383</v>
      </c>
    </row>
    <row r="272" spans="1:8" ht="15">
      <c r="A272" s="21"/>
      <c r="B272" s="21"/>
      <c r="C272" s="21">
        <v>1121</v>
      </c>
      <c r="D272" s="21" t="s">
        <v>211</v>
      </c>
      <c r="E272" s="56">
        <v>45000</v>
      </c>
      <c r="F272" s="56">
        <v>45000</v>
      </c>
      <c r="G272" s="57">
        <v>24954.5</v>
      </c>
      <c r="H272" s="221">
        <f t="shared" si="7"/>
        <v>55.45444444444444</v>
      </c>
    </row>
    <row r="273" spans="1:8" ht="15">
      <c r="A273" s="21"/>
      <c r="B273" s="21"/>
      <c r="C273" s="21">
        <v>1122</v>
      </c>
      <c r="D273" s="21" t="s">
        <v>212</v>
      </c>
      <c r="E273" s="57">
        <v>10000</v>
      </c>
      <c r="F273" s="57">
        <v>9425.2</v>
      </c>
      <c r="G273" s="57">
        <v>9425.1</v>
      </c>
      <c r="H273" s="221">
        <f t="shared" si="7"/>
        <v>99.99893901455673</v>
      </c>
    </row>
    <row r="274" spans="1:8" ht="15">
      <c r="A274" s="21"/>
      <c r="B274" s="21"/>
      <c r="C274" s="21">
        <v>1211</v>
      </c>
      <c r="D274" s="21" t="s">
        <v>213</v>
      </c>
      <c r="E274" s="57">
        <v>102000</v>
      </c>
      <c r="F274" s="57">
        <v>102000</v>
      </c>
      <c r="G274" s="57">
        <v>53808.1</v>
      </c>
      <c r="H274" s="221">
        <f t="shared" si="7"/>
        <v>52.75303921568627</v>
      </c>
    </row>
    <row r="275" spans="1:8" ht="15">
      <c r="A275" s="21"/>
      <c r="B275" s="21"/>
      <c r="C275" s="21">
        <v>1340</v>
      </c>
      <c r="D275" s="21" t="s">
        <v>214</v>
      </c>
      <c r="E275" s="57">
        <v>10300</v>
      </c>
      <c r="F275" s="57">
        <v>10300</v>
      </c>
      <c r="G275" s="71">
        <v>9127.5</v>
      </c>
      <c r="H275" s="221">
        <f t="shared" si="7"/>
        <v>88.61650485436893</v>
      </c>
    </row>
    <row r="276" spans="1:8" ht="15">
      <c r="A276" s="21"/>
      <c r="B276" s="21"/>
      <c r="C276" s="21">
        <v>1341</v>
      </c>
      <c r="D276" s="21" t="s">
        <v>215</v>
      </c>
      <c r="E276" s="71">
        <v>950</v>
      </c>
      <c r="F276" s="71">
        <v>950</v>
      </c>
      <c r="G276" s="71">
        <v>752.7</v>
      </c>
      <c r="H276" s="221">
        <f t="shared" si="7"/>
        <v>79.23157894736843</v>
      </c>
    </row>
    <row r="277" spans="1:8" ht="15" customHeight="1">
      <c r="A277" s="53"/>
      <c r="B277" s="54"/>
      <c r="C277" s="36">
        <v>1342</v>
      </c>
      <c r="D277" s="36" t="s">
        <v>216</v>
      </c>
      <c r="E277" s="20">
        <v>50</v>
      </c>
      <c r="F277" s="20">
        <v>50</v>
      </c>
      <c r="G277" s="20">
        <v>14.2</v>
      </c>
      <c r="H277" s="221">
        <f t="shared" si="7"/>
        <v>28.4</v>
      </c>
    </row>
    <row r="278" spans="1:8" ht="15">
      <c r="A278" s="72"/>
      <c r="B278" s="36"/>
      <c r="C278" s="36">
        <v>1343</v>
      </c>
      <c r="D278" s="36" t="s">
        <v>217</v>
      </c>
      <c r="E278" s="20">
        <v>1100</v>
      </c>
      <c r="F278" s="20">
        <v>1100</v>
      </c>
      <c r="G278" s="20">
        <v>681.6</v>
      </c>
      <c r="H278" s="221">
        <f t="shared" si="7"/>
        <v>61.96363636363637</v>
      </c>
    </row>
    <row r="279" spans="1:8" ht="15">
      <c r="A279" s="55"/>
      <c r="B279" s="21"/>
      <c r="C279" s="21">
        <v>1345</v>
      </c>
      <c r="D279" s="21" t="s">
        <v>218</v>
      </c>
      <c r="E279" s="56">
        <v>200</v>
      </c>
      <c r="F279" s="56">
        <v>200</v>
      </c>
      <c r="G279" s="56">
        <v>72.5</v>
      </c>
      <c r="H279" s="221">
        <f t="shared" si="7"/>
        <v>36.25</v>
      </c>
    </row>
    <row r="280" spans="1:8" ht="15" hidden="1">
      <c r="A280" s="21"/>
      <c r="B280" s="21"/>
      <c r="C280" s="21">
        <v>1347</v>
      </c>
      <c r="D280" s="21" t="s">
        <v>219</v>
      </c>
      <c r="E280" s="71"/>
      <c r="F280" s="71"/>
      <c r="G280" s="71"/>
      <c r="H280" s="221" t="e">
        <f t="shared" si="7"/>
        <v>#DIV/0!</v>
      </c>
    </row>
    <row r="281" spans="1:8" ht="15" hidden="1">
      <c r="A281" s="21"/>
      <c r="B281" s="21"/>
      <c r="C281" s="21">
        <v>1349</v>
      </c>
      <c r="D281" s="21" t="s">
        <v>220</v>
      </c>
      <c r="E281" s="57"/>
      <c r="F281" s="57"/>
      <c r="G281" s="57"/>
      <c r="H281" s="221" t="e">
        <f t="shared" si="7"/>
        <v>#DIV/0!</v>
      </c>
    </row>
    <row r="282" spans="1:8" ht="15">
      <c r="A282" s="21"/>
      <c r="B282" s="21"/>
      <c r="C282" s="21">
        <v>1351.5</v>
      </c>
      <c r="D282" s="21" t="s">
        <v>221</v>
      </c>
      <c r="E282" s="57">
        <v>18500</v>
      </c>
      <c r="F282" s="57">
        <v>18500</v>
      </c>
      <c r="G282" s="57">
        <f>664.1+10461.2</f>
        <v>11125.300000000001</v>
      </c>
      <c r="H282" s="221">
        <f t="shared" si="7"/>
        <v>60.13675675675676</v>
      </c>
    </row>
    <row r="283" spans="1:8" ht="15" hidden="1">
      <c r="A283" s="21"/>
      <c r="B283" s="21"/>
      <c r="C283" s="21">
        <v>1361</v>
      </c>
      <c r="D283" s="21" t="s">
        <v>222</v>
      </c>
      <c r="E283" s="71"/>
      <c r="F283" s="71"/>
      <c r="G283" s="71"/>
      <c r="H283" s="221" t="e">
        <f t="shared" si="7"/>
        <v>#DIV/0!</v>
      </c>
    </row>
    <row r="284" spans="1:8" ht="15">
      <c r="A284" s="21"/>
      <c r="B284" s="21"/>
      <c r="C284" s="21">
        <v>1511</v>
      </c>
      <c r="D284" s="21" t="s">
        <v>223</v>
      </c>
      <c r="E284" s="22">
        <v>21500</v>
      </c>
      <c r="F284" s="22">
        <v>21500</v>
      </c>
      <c r="G284" s="22">
        <v>13056.2</v>
      </c>
      <c r="H284" s="221">
        <f t="shared" si="7"/>
        <v>60.72651162790697</v>
      </c>
    </row>
    <row r="285" spans="1:8" ht="15" customHeight="1" hidden="1">
      <c r="A285" s="21"/>
      <c r="B285" s="21"/>
      <c r="C285" s="21">
        <v>2460</v>
      </c>
      <c r="D285" s="21" t="s">
        <v>224</v>
      </c>
      <c r="E285" s="22"/>
      <c r="F285" s="22"/>
      <c r="G285" s="22"/>
      <c r="H285" s="221" t="e">
        <f t="shared" si="7"/>
        <v>#DIV/0!</v>
      </c>
    </row>
    <row r="286" spans="1:8" ht="15">
      <c r="A286" s="21"/>
      <c r="B286" s="21"/>
      <c r="C286" s="21">
        <v>4112</v>
      </c>
      <c r="D286" s="21" t="s">
        <v>225</v>
      </c>
      <c r="E286" s="22">
        <v>34000</v>
      </c>
      <c r="F286" s="22">
        <v>34754</v>
      </c>
      <c r="G286" s="22">
        <v>17377.2</v>
      </c>
      <c r="H286" s="221">
        <f t="shared" si="7"/>
        <v>50.00057547332681</v>
      </c>
    </row>
    <row r="287" spans="1:8" ht="15" hidden="1">
      <c r="A287" s="21"/>
      <c r="B287" s="21">
        <v>6171</v>
      </c>
      <c r="C287" s="21">
        <v>2212</v>
      </c>
      <c r="D287" s="21" t="s">
        <v>226</v>
      </c>
      <c r="E287" s="22"/>
      <c r="F287" s="22"/>
      <c r="G287" s="22"/>
      <c r="H287" s="221" t="e">
        <f t="shared" si="7"/>
        <v>#DIV/0!</v>
      </c>
    </row>
    <row r="288" spans="1:8" ht="15">
      <c r="A288" s="21"/>
      <c r="B288" s="21"/>
      <c r="C288" s="21">
        <v>4132</v>
      </c>
      <c r="D288" s="21" t="s">
        <v>227</v>
      </c>
      <c r="E288" s="22">
        <v>0</v>
      </c>
      <c r="F288" s="22">
        <v>0</v>
      </c>
      <c r="G288" s="22">
        <v>125.5</v>
      </c>
      <c r="H288" s="221" t="e">
        <f t="shared" si="7"/>
        <v>#DIV/0!</v>
      </c>
    </row>
    <row r="289" spans="1:8" ht="15" hidden="1">
      <c r="A289" s="21"/>
      <c r="B289" s="21">
        <v>6171</v>
      </c>
      <c r="C289" s="21">
        <v>2328</v>
      </c>
      <c r="D289" s="21" t="s">
        <v>228</v>
      </c>
      <c r="E289" s="22"/>
      <c r="F289" s="22"/>
      <c r="G289" s="22"/>
      <c r="H289" s="221" t="e">
        <f t="shared" si="7"/>
        <v>#DIV/0!</v>
      </c>
    </row>
    <row r="290" spans="1:8" ht="15">
      <c r="A290" s="21"/>
      <c r="B290" s="21">
        <v>6310</v>
      </c>
      <c r="C290" s="21">
        <v>2141</v>
      </c>
      <c r="D290" s="21" t="s">
        <v>229</v>
      </c>
      <c r="E290" s="22">
        <v>300</v>
      </c>
      <c r="F290" s="22">
        <v>300</v>
      </c>
      <c r="G290" s="22">
        <v>346.1</v>
      </c>
      <c r="H290" s="221">
        <f t="shared" si="7"/>
        <v>115.36666666666669</v>
      </c>
    </row>
    <row r="291" spans="1:8" ht="15" hidden="1">
      <c r="A291" s="21"/>
      <c r="B291" s="21">
        <v>6310</v>
      </c>
      <c r="C291" s="21">
        <v>2142</v>
      </c>
      <c r="D291" s="21" t="s">
        <v>230</v>
      </c>
      <c r="E291" s="73"/>
      <c r="F291" s="73"/>
      <c r="G291" s="22"/>
      <c r="H291" s="221" t="e">
        <f t="shared" si="7"/>
        <v>#DIV/0!</v>
      </c>
    </row>
    <row r="292" spans="1:8" ht="15">
      <c r="A292" s="21"/>
      <c r="B292" s="21">
        <v>6310</v>
      </c>
      <c r="C292" s="21">
        <v>2329</v>
      </c>
      <c r="D292" s="21" t="s">
        <v>231</v>
      </c>
      <c r="E292" s="73">
        <v>0</v>
      </c>
      <c r="F292" s="73">
        <v>0</v>
      </c>
      <c r="G292" s="22">
        <v>0.4</v>
      </c>
      <c r="H292" s="221" t="e">
        <f t="shared" si="7"/>
        <v>#DIV/0!</v>
      </c>
    </row>
    <row r="293" spans="1:8" ht="15">
      <c r="A293" s="21"/>
      <c r="B293" s="21">
        <v>6409</v>
      </c>
      <c r="C293" s="21">
        <v>2328</v>
      </c>
      <c r="D293" s="21" t="s">
        <v>232</v>
      </c>
      <c r="E293" s="73">
        <v>0</v>
      </c>
      <c r="F293" s="73">
        <v>0</v>
      </c>
      <c r="G293" s="22">
        <v>35.5</v>
      </c>
      <c r="H293" s="221" t="e">
        <f t="shared" si="7"/>
        <v>#DIV/0!</v>
      </c>
    </row>
    <row r="294" spans="1:8" ht="15.75" customHeight="1" thickBot="1">
      <c r="A294" s="59"/>
      <c r="B294" s="59"/>
      <c r="C294" s="59"/>
      <c r="D294" s="59"/>
      <c r="E294" s="74"/>
      <c r="F294" s="74"/>
      <c r="G294" s="74"/>
      <c r="H294" s="228"/>
    </row>
    <row r="295" spans="1:8" s="32" customFormat="1" ht="21.75" customHeight="1" thickBot="1" thickTop="1">
      <c r="A295" s="62"/>
      <c r="B295" s="62"/>
      <c r="C295" s="62"/>
      <c r="D295" s="63" t="s">
        <v>233</v>
      </c>
      <c r="E295" s="64">
        <f>SUM(E269:E294)</f>
        <v>302600</v>
      </c>
      <c r="F295" s="64">
        <f>SUM(F269:F294)</f>
        <v>302779.2</v>
      </c>
      <c r="G295" s="64">
        <f>SUM(G269:G294)</f>
        <v>173099.1</v>
      </c>
      <c r="H295" s="223">
        <f>(G295/F295)*100</f>
        <v>57.17007641211814</v>
      </c>
    </row>
    <row r="296" spans="1:8" ht="15" customHeight="1">
      <c r="A296" s="50"/>
      <c r="B296" s="50"/>
      <c r="C296" s="50"/>
      <c r="D296" s="14"/>
      <c r="E296" s="51"/>
      <c r="F296" s="51"/>
      <c r="G296" s="51"/>
      <c r="H296" s="225"/>
    </row>
    <row r="297" spans="1:8" ht="15" hidden="1">
      <c r="A297" s="32"/>
      <c r="B297" s="50"/>
      <c r="C297" s="50"/>
      <c r="D297" s="50"/>
      <c r="E297" s="75"/>
      <c r="F297" s="75"/>
      <c r="G297" s="75"/>
      <c r="H297" s="229"/>
    </row>
    <row r="298" spans="1:8" ht="15" hidden="1">
      <c r="A298" s="32"/>
      <c r="B298" s="50"/>
      <c r="C298" s="50"/>
      <c r="D298" s="50"/>
      <c r="E298" s="75"/>
      <c r="F298" s="75"/>
      <c r="G298" s="75"/>
      <c r="H298" s="229"/>
    </row>
    <row r="299" spans="1:8" ht="15" customHeight="1" thickBot="1">
      <c r="A299" s="32"/>
      <c r="B299" s="50"/>
      <c r="C299" s="50"/>
      <c r="D299" s="50"/>
      <c r="E299" s="75"/>
      <c r="F299" s="75"/>
      <c r="G299" s="75"/>
      <c r="H299" s="229"/>
    </row>
    <row r="300" spans="1:8" ht="15.75">
      <c r="A300" s="206" t="s">
        <v>25</v>
      </c>
      <c r="B300" s="206" t="s">
        <v>26</v>
      </c>
      <c r="C300" s="206" t="s">
        <v>27</v>
      </c>
      <c r="D300" s="207" t="s">
        <v>28</v>
      </c>
      <c r="E300" s="208" t="s">
        <v>29</v>
      </c>
      <c r="F300" s="208" t="s">
        <v>29</v>
      </c>
      <c r="G300" s="208" t="s">
        <v>7</v>
      </c>
      <c r="H300" s="218" t="s">
        <v>30</v>
      </c>
    </row>
    <row r="301" spans="1:8" ht="15.75" customHeight="1" thickBot="1">
      <c r="A301" s="209"/>
      <c r="B301" s="209"/>
      <c r="C301" s="209"/>
      <c r="D301" s="210"/>
      <c r="E301" s="211" t="s">
        <v>31</v>
      </c>
      <c r="F301" s="211" t="s">
        <v>32</v>
      </c>
      <c r="G301" s="212" t="s">
        <v>33</v>
      </c>
      <c r="H301" s="219" t="s">
        <v>34</v>
      </c>
    </row>
    <row r="302" spans="1:8" ht="16.5" customHeight="1" thickTop="1">
      <c r="A302" s="18">
        <v>120</v>
      </c>
      <c r="B302" s="18"/>
      <c r="C302" s="18"/>
      <c r="D302" s="54" t="s">
        <v>234</v>
      </c>
      <c r="E302" s="20"/>
      <c r="F302" s="20"/>
      <c r="G302" s="20"/>
      <c r="H302" s="220"/>
    </row>
    <row r="303" spans="1:8" ht="15.75">
      <c r="A303" s="54"/>
      <c r="B303" s="54"/>
      <c r="C303" s="54"/>
      <c r="D303" s="54"/>
      <c r="E303" s="22"/>
      <c r="F303" s="22"/>
      <c r="G303" s="22"/>
      <c r="H303" s="221"/>
    </row>
    <row r="304" spans="1:8" ht="15" hidden="1">
      <c r="A304" s="21"/>
      <c r="B304" s="21">
        <v>2219</v>
      </c>
      <c r="C304" s="21">
        <v>2133</v>
      </c>
      <c r="D304" s="21" t="s">
        <v>235</v>
      </c>
      <c r="E304" s="76"/>
      <c r="F304" s="76"/>
      <c r="G304" s="76"/>
      <c r="H304" s="221" t="e">
        <f>(#REF!/F304)*100</f>
        <v>#REF!</v>
      </c>
    </row>
    <row r="305" spans="1:8" ht="15">
      <c r="A305" s="21"/>
      <c r="B305" s="21">
        <v>3612</v>
      </c>
      <c r="C305" s="21">
        <v>2111</v>
      </c>
      <c r="D305" s="21" t="s">
        <v>236</v>
      </c>
      <c r="E305" s="76">
        <v>4000</v>
      </c>
      <c r="F305" s="76">
        <v>4000</v>
      </c>
      <c r="G305" s="76">
        <v>2067.7</v>
      </c>
      <c r="H305" s="221">
        <f aca="true" t="shared" si="8" ref="H305:H342">(G305/F305)*100</f>
        <v>51.692499999999995</v>
      </c>
    </row>
    <row r="306" spans="1:8" ht="15">
      <c r="A306" s="21"/>
      <c r="B306" s="21">
        <v>3612</v>
      </c>
      <c r="C306" s="21">
        <v>2132</v>
      </c>
      <c r="D306" s="21" t="s">
        <v>237</v>
      </c>
      <c r="E306" s="76">
        <v>8600</v>
      </c>
      <c r="F306" s="76">
        <v>8600</v>
      </c>
      <c r="G306" s="76">
        <v>4354.6</v>
      </c>
      <c r="H306" s="221">
        <f t="shared" si="8"/>
        <v>50.63488372093023</v>
      </c>
    </row>
    <row r="307" spans="1:8" ht="15">
      <c r="A307" s="21"/>
      <c r="B307" s="21">
        <v>3612</v>
      </c>
      <c r="C307" s="21">
        <v>2322</v>
      </c>
      <c r="D307" s="21" t="s">
        <v>198</v>
      </c>
      <c r="E307" s="76">
        <v>0</v>
      </c>
      <c r="F307" s="76">
        <v>0</v>
      </c>
      <c r="G307" s="76">
        <v>93.8</v>
      </c>
      <c r="H307" s="221" t="e">
        <f t="shared" si="8"/>
        <v>#DIV/0!</v>
      </c>
    </row>
    <row r="308" spans="1:8" ht="15">
      <c r="A308" s="21"/>
      <c r="B308" s="21">
        <v>3612</v>
      </c>
      <c r="C308" s="21">
        <v>2324</v>
      </c>
      <c r="D308" s="21" t="s">
        <v>238</v>
      </c>
      <c r="E308" s="22">
        <v>0</v>
      </c>
      <c r="F308" s="22">
        <v>0</v>
      </c>
      <c r="G308" s="22">
        <v>839.4</v>
      </c>
      <c r="H308" s="221" t="e">
        <f t="shared" si="8"/>
        <v>#DIV/0!</v>
      </c>
    </row>
    <row r="309" spans="1:8" ht="15" hidden="1">
      <c r="A309" s="21"/>
      <c r="B309" s="21">
        <v>3612</v>
      </c>
      <c r="C309" s="21">
        <v>2329</v>
      </c>
      <c r="D309" s="21" t="s">
        <v>239</v>
      </c>
      <c r="E309" s="22"/>
      <c r="F309" s="22"/>
      <c r="G309" s="22"/>
      <c r="H309" s="221" t="e">
        <f t="shared" si="8"/>
        <v>#DIV/0!</v>
      </c>
    </row>
    <row r="310" spans="1:8" ht="15">
      <c r="A310" s="21"/>
      <c r="B310" s="21">
        <v>3612</v>
      </c>
      <c r="C310" s="21">
        <v>3112</v>
      </c>
      <c r="D310" s="21" t="s">
        <v>240</v>
      </c>
      <c r="E310" s="22">
        <v>4130</v>
      </c>
      <c r="F310" s="22">
        <v>4130</v>
      </c>
      <c r="G310" s="22">
        <v>350</v>
      </c>
      <c r="H310" s="221">
        <f t="shared" si="8"/>
        <v>8.47457627118644</v>
      </c>
    </row>
    <row r="311" spans="1:8" ht="15">
      <c r="A311" s="21"/>
      <c r="B311" s="21">
        <v>3613</v>
      </c>
      <c r="C311" s="21">
        <v>2111</v>
      </c>
      <c r="D311" s="21" t="s">
        <v>241</v>
      </c>
      <c r="E311" s="76">
        <v>1950</v>
      </c>
      <c r="F311" s="76">
        <v>1950</v>
      </c>
      <c r="G311" s="76">
        <v>900.9</v>
      </c>
      <c r="H311" s="221">
        <f t="shared" si="8"/>
        <v>46.199999999999996</v>
      </c>
    </row>
    <row r="312" spans="1:8" ht="15">
      <c r="A312" s="21"/>
      <c r="B312" s="21">
        <v>3613</v>
      </c>
      <c r="C312" s="21">
        <v>2132</v>
      </c>
      <c r="D312" s="21" t="s">
        <v>242</v>
      </c>
      <c r="E312" s="76">
        <v>4800</v>
      </c>
      <c r="F312" s="76">
        <v>4800</v>
      </c>
      <c r="G312" s="76">
        <v>2588.1</v>
      </c>
      <c r="H312" s="221">
        <f t="shared" si="8"/>
        <v>53.918749999999996</v>
      </c>
    </row>
    <row r="313" spans="1:8" ht="15" hidden="1">
      <c r="A313" s="24"/>
      <c r="B313" s="21">
        <v>3613</v>
      </c>
      <c r="C313" s="21">
        <v>2133</v>
      </c>
      <c r="D313" s="21" t="s">
        <v>243</v>
      </c>
      <c r="E313" s="22"/>
      <c r="F313" s="22"/>
      <c r="G313" s="22"/>
      <c r="H313" s="221" t="e">
        <f t="shared" si="8"/>
        <v>#DIV/0!</v>
      </c>
    </row>
    <row r="314" spans="1:8" ht="15" hidden="1">
      <c r="A314" s="24"/>
      <c r="B314" s="21">
        <v>3613</v>
      </c>
      <c r="C314" s="21">
        <v>2310</v>
      </c>
      <c r="D314" s="21" t="s">
        <v>244</v>
      </c>
      <c r="E314" s="22"/>
      <c r="F314" s="22"/>
      <c r="G314" s="22"/>
      <c r="H314" s="221" t="e">
        <f t="shared" si="8"/>
        <v>#DIV/0!</v>
      </c>
    </row>
    <row r="315" spans="1:8" ht="15" hidden="1">
      <c r="A315" s="24"/>
      <c r="B315" s="21">
        <v>3613</v>
      </c>
      <c r="C315" s="21">
        <v>2322</v>
      </c>
      <c r="D315" s="21" t="s">
        <v>245</v>
      </c>
      <c r="E315" s="22"/>
      <c r="F315" s="22"/>
      <c r="G315" s="22"/>
      <c r="H315" s="221" t="e">
        <f t="shared" si="8"/>
        <v>#DIV/0!</v>
      </c>
    </row>
    <row r="316" spans="1:8" ht="15">
      <c r="A316" s="24"/>
      <c r="B316" s="21">
        <v>3613</v>
      </c>
      <c r="C316" s="21">
        <v>2324</v>
      </c>
      <c r="D316" s="21" t="s">
        <v>246</v>
      </c>
      <c r="E316" s="22">
        <v>0</v>
      </c>
      <c r="F316" s="22">
        <v>0</v>
      </c>
      <c r="G316" s="22">
        <v>192.2</v>
      </c>
      <c r="H316" s="221" t="e">
        <f t="shared" si="8"/>
        <v>#DIV/0!</v>
      </c>
    </row>
    <row r="317" spans="1:8" ht="15">
      <c r="A317" s="24"/>
      <c r="B317" s="21">
        <v>3613</v>
      </c>
      <c r="C317" s="21">
        <v>3112</v>
      </c>
      <c r="D317" s="21" t="s">
        <v>247</v>
      </c>
      <c r="E317" s="22">
        <v>1327</v>
      </c>
      <c r="F317" s="22">
        <v>1327</v>
      </c>
      <c r="G317" s="22">
        <v>306.6</v>
      </c>
      <c r="H317" s="221">
        <f t="shared" si="8"/>
        <v>23.10474755086662</v>
      </c>
    </row>
    <row r="318" spans="1:8" ht="15">
      <c r="A318" s="24"/>
      <c r="B318" s="21">
        <v>3631</v>
      </c>
      <c r="C318" s="21">
        <v>2133</v>
      </c>
      <c r="D318" s="21" t="s">
        <v>248</v>
      </c>
      <c r="E318" s="22">
        <v>380</v>
      </c>
      <c r="F318" s="22">
        <v>380</v>
      </c>
      <c r="G318" s="22">
        <v>126.2</v>
      </c>
      <c r="H318" s="221">
        <f t="shared" si="8"/>
        <v>33.21052631578947</v>
      </c>
    </row>
    <row r="319" spans="1:8" ht="15">
      <c r="A319" s="24"/>
      <c r="B319" s="21">
        <v>3632</v>
      </c>
      <c r="C319" s="21">
        <v>2111</v>
      </c>
      <c r="D319" s="21" t="s">
        <v>249</v>
      </c>
      <c r="E319" s="22">
        <v>400</v>
      </c>
      <c r="F319" s="22">
        <v>400</v>
      </c>
      <c r="G319" s="22">
        <v>304.6</v>
      </c>
      <c r="H319" s="221">
        <f t="shared" si="8"/>
        <v>76.15</v>
      </c>
    </row>
    <row r="320" spans="1:8" ht="15">
      <c r="A320" s="24"/>
      <c r="B320" s="21">
        <v>3632</v>
      </c>
      <c r="C320" s="21">
        <v>2132</v>
      </c>
      <c r="D320" s="21" t="s">
        <v>250</v>
      </c>
      <c r="E320" s="22">
        <v>20</v>
      </c>
      <c r="F320" s="22">
        <v>20</v>
      </c>
      <c r="G320" s="22">
        <v>25</v>
      </c>
      <c r="H320" s="221">
        <f t="shared" si="8"/>
        <v>125</v>
      </c>
    </row>
    <row r="321" spans="1:8" ht="15">
      <c r="A321" s="24"/>
      <c r="B321" s="21">
        <v>3632</v>
      </c>
      <c r="C321" s="21">
        <v>2133</v>
      </c>
      <c r="D321" s="21" t="s">
        <v>251</v>
      </c>
      <c r="E321" s="22">
        <v>5</v>
      </c>
      <c r="F321" s="22">
        <v>5</v>
      </c>
      <c r="G321" s="22">
        <v>0</v>
      </c>
      <c r="H321" s="221">
        <f t="shared" si="8"/>
        <v>0</v>
      </c>
    </row>
    <row r="322" spans="1:8" ht="15">
      <c r="A322" s="24"/>
      <c r="B322" s="21">
        <v>3632</v>
      </c>
      <c r="C322" s="21">
        <v>2324</v>
      </c>
      <c r="D322" s="21" t="s">
        <v>252</v>
      </c>
      <c r="E322" s="22">
        <v>0</v>
      </c>
      <c r="F322" s="22">
        <v>0</v>
      </c>
      <c r="G322" s="22">
        <v>21.1</v>
      </c>
      <c r="H322" s="221" t="e">
        <f t="shared" si="8"/>
        <v>#DIV/0!</v>
      </c>
    </row>
    <row r="323" spans="1:8" ht="15">
      <c r="A323" s="24"/>
      <c r="B323" s="21">
        <v>3632</v>
      </c>
      <c r="C323" s="21">
        <v>2329</v>
      </c>
      <c r="D323" s="21" t="s">
        <v>253</v>
      </c>
      <c r="E323" s="22">
        <v>50</v>
      </c>
      <c r="F323" s="22">
        <v>50</v>
      </c>
      <c r="G323" s="22">
        <v>27.1</v>
      </c>
      <c r="H323" s="221">
        <f t="shared" si="8"/>
        <v>54.2</v>
      </c>
    </row>
    <row r="324" spans="1:8" ht="15">
      <c r="A324" s="24"/>
      <c r="B324" s="21">
        <v>3634</v>
      </c>
      <c r="C324" s="21">
        <v>2132</v>
      </c>
      <c r="D324" s="21" t="s">
        <v>254</v>
      </c>
      <c r="E324" s="22">
        <v>4171</v>
      </c>
      <c r="F324" s="22">
        <v>4171</v>
      </c>
      <c r="G324" s="22">
        <v>4157.5</v>
      </c>
      <c r="H324" s="221">
        <f t="shared" si="8"/>
        <v>99.67633660992567</v>
      </c>
    </row>
    <row r="325" spans="1:8" ht="15" hidden="1">
      <c r="A325" s="24"/>
      <c r="B325" s="21">
        <v>3636</v>
      </c>
      <c r="C325" s="21">
        <v>2131</v>
      </c>
      <c r="D325" s="21" t="s">
        <v>255</v>
      </c>
      <c r="E325" s="22"/>
      <c r="F325" s="22"/>
      <c r="G325" s="22"/>
      <c r="H325" s="221" t="e">
        <f t="shared" si="8"/>
        <v>#DIV/0!</v>
      </c>
    </row>
    <row r="326" spans="1:8" ht="15">
      <c r="A326" s="24"/>
      <c r="B326" s="21">
        <v>3639</v>
      </c>
      <c r="C326" s="21">
        <v>2119</v>
      </c>
      <c r="D326" s="21" t="s">
        <v>256</v>
      </c>
      <c r="E326" s="22">
        <v>100</v>
      </c>
      <c r="F326" s="22">
        <v>100</v>
      </c>
      <c r="G326" s="22">
        <v>508.1</v>
      </c>
      <c r="H326" s="221">
        <f t="shared" si="8"/>
        <v>508.1</v>
      </c>
    </row>
    <row r="327" spans="1:8" ht="15">
      <c r="A327" s="21"/>
      <c r="B327" s="21">
        <v>3639</v>
      </c>
      <c r="C327" s="21">
        <v>2131</v>
      </c>
      <c r="D327" s="21" t="s">
        <v>257</v>
      </c>
      <c r="E327" s="22">
        <v>1600</v>
      </c>
      <c r="F327" s="22">
        <v>1600</v>
      </c>
      <c r="G327" s="22">
        <v>1346.3</v>
      </c>
      <c r="H327" s="221">
        <f t="shared" si="8"/>
        <v>84.14375</v>
      </c>
    </row>
    <row r="328" spans="1:8" ht="15">
      <c r="A328" s="21"/>
      <c r="B328" s="21">
        <v>3639</v>
      </c>
      <c r="C328" s="21">
        <v>2132</v>
      </c>
      <c r="D328" s="21" t="s">
        <v>258</v>
      </c>
      <c r="E328" s="22">
        <v>18</v>
      </c>
      <c r="F328" s="22">
        <v>18</v>
      </c>
      <c r="G328" s="22">
        <v>11.5</v>
      </c>
      <c r="H328" s="221">
        <f t="shared" si="8"/>
        <v>63.888888888888886</v>
      </c>
    </row>
    <row r="329" spans="1:8" ht="15" customHeight="1" hidden="1">
      <c r="A329" s="21"/>
      <c r="B329" s="21">
        <v>3639</v>
      </c>
      <c r="C329" s="21">
        <v>2212</v>
      </c>
      <c r="D329" s="21" t="s">
        <v>259</v>
      </c>
      <c r="E329" s="22"/>
      <c r="F329" s="22"/>
      <c r="G329" s="22"/>
      <c r="H329" s="221" t="e">
        <f t="shared" si="8"/>
        <v>#DIV/0!</v>
      </c>
    </row>
    <row r="330" spans="1:8" ht="15">
      <c r="A330" s="21"/>
      <c r="B330" s="21">
        <v>3639</v>
      </c>
      <c r="C330" s="21">
        <v>2324</v>
      </c>
      <c r="D330" s="21" t="s">
        <v>260</v>
      </c>
      <c r="E330" s="22">
        <v>110.1</v>
      </c>
      <c r="F330" s="22">
        <v>110.1</v>
      </c>
      <c r="G330" s="22">
        <v>62.3</v>
      </c>
      <c r="H330" s="221">
        <f t="shared" si="8"/>
        <v>56.58492279745686</v>
      </c>
    </row>
    <row r="331" spans="1:8" ht="15">
      <c r="A331" s="21"/>
      <c r="B331" s="21">
        <v>3639</v>
      </c>
      <c r="C331" s="21">
        <v>2328</v>
      </c>
      <c r="D331" s="21" t="s">
        <v>261</v>
      </c>
      <c r="E331" s="22">
        <v>0</v>
      </c>
      <c r="F331" s="22">
        <v>0</v>
      </c>
      <c r="G331" s="22">
        <v>0</v>
      </c>
      <c r="H331" s="221" t="e">
        <f t="shared" si="8"/>
        <v>#DIV/0!</v>
      </c>
    </row>
    <row r="332" spans="1:8" ht="15">
      <c r="A332" s="21"/>
      <c r="B332" s="21">
        <v>3639</v>
      </c>
      <c r="C332" s="21">
        <v>3111</v>
      </c>
      <c r="D332" s="21" t="s">
        <v>262</v>
      </c>
      <c r="E332" s="22">
        <v>214</v>
      </c>
      <c r="F332" s="22">
        <v>214</v>
      </c>
      <c r="G332" s="22">
        <v>146.3</v>
      </c>
      <c r="H332" s="221">
        <f t="shared" si="8"/>
        <v>68.36448598130842</v>
      </c>
    </row>
    <row r="333" spans="1:8" ht="15" hidden="1">
      <c r="A333" s="21"/>
      <c r="B333" s="21">
        <v>3639</v>
      </c>
      <c r="C333" s="21">
        <v>3112</v>
      </c>
      <c r="D333" s="21" t="s">
        <v>263</v>
      </c>
      <c r="E333" s="22"/>
      <c r="F333" s="22"/>
      <c r="G333" s="22"/>
      <c r="H333" s="221" t="e">
        <f t="shared" si="8"/>
        <v>#DIV/0!</v>
      </c>
    </row>
    <row r="334" spans="1:8" ht="15" hidden="1">
      <c r="A334" s="21"/>
      <c r="B334" s="21">
        <v>3639</v>
      </c>
      <c r="C334" s="21">
        <v>3113</v>
      </c>
      <c r="D334" s="21" t="s">
        <v>264</v>
      </c>
      <c r="E334" s="22"/>
      <c r="F334" s="22"/>
      <c r="G334" s="22"/>
      <c r="H334" s="221" t="e">
        <f t="shared" si="8"/>
        <v>#DIV/0!</v>
      </c>
    </row>
    <row r="335" spans="1:8" ht="15" customHeight="1">
      <c r="A335" s="39"/>
      <c r="B335" s="39">
        <v>3639</v>
      </c>
      <c r="C335" s="39">
        <v>3119</v>
      </c>
      <c r="D335" s="39" t="s">
        <v>265</v>
      </c>
      <c r="E335" s="22">
        <v>7200</v>
      </c>
      <c r="F335" s="22">
        <v>7200</v>
      </c>
      <c r="G335" s="22">
        <v>3000</v>
      </c>
      <c r="H335" s="221">
        <f t="shared" si="8"/>
        <v>41.66666666666667</v>
      </c>
    </row>
    <row r="336" spans="1:8" ht="15" hidden="1">
      <c r="A336" s="39"/>
      <c r="B336" s="39">
        <v>6171</v>
      </c>
      <c r="C336" s="39">
        <v>2131</v>
      </c>
      <c r="D336" s="39" t="s">
        <v>266</v>
      </c>
      <c r="E336" s="22"/>
      <c r="F336" s="22"/>
      <c r="G336" s="22"/>
      <c r="H336" s="221" t="e">
        <f t="shared" si="8"/>
        <v>#DIV/0!</v>
      </c>
    </row>
    <row r="337" spans="1:8" ht="15" hidden="1">
      <c r="A337" s="21"/>
      <c r="B337" s="21">
        <v>6171</v>
      </c>
      <c r="C337" s="21">
        <v>2324</v>
      </c>
      <c r="D337" s="21" t="s">
        <v>267</v>
      </c>
      <c r="E337" s="22"/>
      <c r="F337" s="22"/>
      <c r="G337" s="22"/>
      <c r="H337" s="221" t="e">
        <f t="shared" si="8"/>
        <v>#DIV/0!</v>
      </c>
    </row>
    <row r="338" spans="1:8" ht="15" hidden="1">
      <c r="A338" s="21"/>
      <c r="B338" s="21"/>
      <c r="C338" s="21"/>
      <c r="D338" s="21"/>
      <c r="E338" s="22"/>
      <c r="F338" s="22"/>
      <c r="G338" s="22"/>
      <c r="H338" s="221" t="e">
        <f t="shared" si="8"/>
        <v>#DIV/0!</v>
      </c>
    </row>
    <row r="339" spans="1:8" ht="15" customHeight="1">
      <c r="A339" s="39"/>
      <c r="B339" s="39">
        <v>6171</v>
      </c>
      <c r="C339" s="39">
        <v>2131</v>
      </c>
      <c r="D339" s="39" t="s">
        <v>268</v>
      </c>
      <c r="E339" s="22">
        <v>10</v>
      </c>
      <c r="F339" s="22">
        <v>10</v>
      </c>
      <c r="G339" s="22">
        <v>0</v>
      </c>
      <c r="H339" s="221">
        <f t="shared" si="8"/>
        <v>0</v>
      </c>
    </row>
    <row r="340" spans="1:8" ht="15" customHeight="1" hidden="1">
      <c r="A340" s="39"/>
      <c r="B340" s="39">
        <v>6171</v>
      </c>
      <c r="C340" s="39">
        <v>2133</v>
      </c>
      <c r="D340" s="39" t="s">
        <v>269</v>
      </c>
      <c r="E340" s="22"/>
      <c r="F340" s="22"/>
      <c r="G340" s="22"/>
      <c r="H340" s="221" t="e">
        <f t="shared" si="8"/>
        <v>#DIV/0!</v>
      </c>
    </row>
    <row r="341" spans="1:8" ht="15" customHeight="1" hidden="1">
      <c r="A341" s="21"/>
      <c r="B341" s="21">
        <v>6409</v>
      </c>
      <c r="C341" s="21">
        <v>2328</v>
      </c>
      <c r="D341" s="21" t="s">
        <v>270</v>
      </c>
      <c r="E341" s="22"/>
      <c r="F341" s="22"/>
      <c r="G341" s="22"/>
      <c r="H341" s="221" t="e">
        <f t="shared" si="8"/>
        <v>#DIV/0!</v>
      </c>
    </row>
    <row r="342" spans="1:8" ht="15" customHeight="1">
      <c r="A342" s="39"/>
      <c r="B342" s="39">
        <v>6409</v>
      </c>
      <c r="C342" s="39">
        <v>2328</v>
      </c>
      <c r="D342" s="39" t="s">
        <v>270</v>
      </c>
      <c r="E342" s="22">
        <v>0</v>
      </c>
      <c r="F342" s="22">
        <v>0</v>
      </c>
      <c r="G342" s="22">
        <v>-3.1</v>
      </c>
      <c r="H342" s="221" t="e">
        <f t="shared" si="8"/>
        <v>#DIV/0!</v>
      </c>
    </row>
    <row r="343" spans="1:8" ht="15.75" customHeight="1" thickBot="1">
      <c r="A343" s="77"/>
      <c r="B343" s="77"/>
      <c r="C343" s="77"/>
      <c r="D343" s="77"/>
      <c r="E343" s="78"/>
      <c r="F343" s="78"/>
      <c r="G343" s="78"/>
      <c r="H343" s="230"/>
    </row>
    <row r="344" spans="1:8" s="32" customFormat="1" ht="22.5" customHeight="1" thickBot="1" thickTop="1">
      <c r="A344" s="62"/>
      <c r="B344" s="62"/>
      <c r="C344" s="62"/>
      <c r="D344" s="63" t="s">
        <v>271</v>
      </c>
      <c r="E344" s="64">
        <f>SUM(E303:E343)</f>
        <v>39085.1</v>
      </c>
      <c r="F344" s="64">
        <f>SUM(F303:F343)</f>
        <v>39085.1</v>
      </c>
      <c r="G344" s="64">
        <f>SUM(G303:G343)</f>
        <v>21426.2</v>
      </c>
      <c r="H344" s="223">
        <f>(G344/F344)*100</f>
        <v>54.81935571355837</v>
      </c>
    </row>
    <row r="345" spans="1:8" ht="15" customHeight="1">
      <c r="A345" s="32"/>
      <c r="B345" s="50"/>
      <c r="C345" s="50"/>
      <c r="D345" s="50"/>
      <c r="E345" s="75"/>
      <c r="F345" s="75"/>
      <c r="G345" s="75"/>
      <c r="H345" s="229"/>
    </row>
    <row r="346" spans="1:8" ht="15" customHeight="1" hidden="1">
      <c r="A346" s="32"/>
      <c r="B346" s="50"/>
      <c r="C346" s="50"/>
      <c r="D346" s="50"/>
      <c r="E346" s="75"/>
      <c r="F346" s="75"/>
      <c r="G346" s="75"/>
      <c r="H346" s="229"/>
    </row>
    <row r="347" spans="1:8" ht="15" customHeight="1" hidden="1">
      <c r="A347" s="32"/>
      <c r="B347" s="50"/>
      <c r="C347" s="50"/>
      <c r="D347" s="50"/>
      <c r="E347" s="75"/>
      <c r="F347" s="75"/>
      <c r="G347" s="75"/>
      <c r="H347" s="229"/>
    </row>
    <row r="348" spans="1:8" ht="15" customHeight="1" hidden="1">
      <c r="A348" s="32"/>
      <c r="B348" s="50"/>
      <c r="C348" s="50"/>
      <c r="D348" s="50"/>
      <c r="E348" s="75"/>
      <c r="F348" s="75"/>
      <c r="G348" s="10"/>
      <c r="H348" s="214"/>
    </row>
    <row r="349" spans="1:8" ht="15" customHeight="1" hidden="1">
      <c r="A349" s="32"/>
      <c r="B349" s="50"/>
      <c r="C349" s="50"/>
      <c r="D349" s="50"/>
      <c r="E349" s="75"/>
      <c r="F349" s="75"/>
      <c r="G349" s="75"/>
      <c r="H349" s="229"/>
    </row>
    <row r="350" spans="1:8" ht="15" customHeight="1" hidden="1">
      <c r="A350" s="32"/>
      <c r="B350" s="50"/>
      <c r="C350" s="50"/>
      <c r="D350" s="50"/>
      <c r="E350" s="75"/>
      <c r="F350" s="75"/>
      <c r="G350" s="75"/>
      <c r="H350" s="229"/>
    </row>
    <row r="351" spans="1:8" ht="15" customHeight="1" thickBot="1">
      <c r="A351" s="32"/>
      <c r="B351" s="50"/>
      <c r="C351" s="50"/>
      <c r="D351" s="50"/>
      <c r="E351" s="75"/>
      <c r="F351" s="75"/>
      <c r="G351" s="75"/>
      <c r="H351" s="229"/>
    </row>
    <row r="352" spans="1:8" ht="15.75">
      <c r="A352" s="206" t="s">
        <v>25</v>
      </c>
      <c r="B352" s="206" t="s">
        <v>26</v>
      </c>
      <c r="C352" s="206" t="s">
        <v>27</v>
      </c>
      <c r="D352" s="207" t="s">
        <v>28</v>
      </c>
      <c r="E352" s="208" t="s">
        <v>29</v>
      </c>
      <c r="F352" s="208" t="s">
        <v>29</v>
      </c>
      <c r="G352" s="208" t="s">
        <v>7</v>
      </c>
      <c r="H352" s="218" t="s">
        <v>30</v>
      </c>
    </row>
    <row r="353" spans="1:8" ht="15.75" customHeight="1" thickBot="1">
      <c r="A353" s="209"/>
      <c r="B353" s="209"/>
      <c r="C353" s="209"/>
      <c r="D353" s="210"/>
      <c r="E353" s="211" t="s">
        <v>31</v>
      </c>
      <c r="F353" s="211" t="s">
        <v>32</v>
      </c>
      <c r="G353" s="212" t="s">
        <v>33</v>
      </c>
      <c r="H353" s="219" t="s">
        <v>34</v>
      </c>
    </row>
    <row r="354" spans="1:8" ht="16.5" thickTop="1">
      <c r="A354" s="18">
        <v>8888</v>
      </c>
      <c r="B354" s="18"/>
      <c r="C354" s="18"/>
      <c r="D354" s="19"/>
      <c r="E354" s="20"/>
      <c r="F354" s="20"/>
      <c r="G354" s="20"/>
      <c r="H354" s="220"/>
    </row>
    <row r="355" spans="1:8" ht="15">
      <c r="A355" s="21"/>
      <c r="B355" s="21">
        <v>6171</v>
      </c>
      <c r="C355" s="21">
        <v>2329</v>
      </c>
      <c r="D355" s="21" t="s">
        <v>272</v>
      </c>
      <c r="E355" s="22">
        <v>0</v>
      </c>
      <c r="F355" s="22">
        <v>0</v>
      </c>
      <c r="G355" s="22"/>
      <c r="H355" s="221" t="e">
        <f>(G355/F355)*100</f>
        <v>#DIV/0!</v>
      </c>
    </row>
    <row r="356" spans="1:8" ht="15">
      <c r="A356" s="21"/>
      <c r="B356" s="21"/>
      <c r="C356" s="21"/>
      <c r="D356" s="21" t="s">
        <v>273</v>
      </c>
      <c r="E356" s="22"/>
      <c r="F356" s="22"/>
      <c r="G356" s="22"/>
      <c r="H356" s="221"/>
    </row>
    <row r="357" spans="1:8" ht="15.75" thickBot="1">
      <c r="A357" s="59"/>
      <c r="B357" s="59"/>
      <c r="C357" s="59"/>
      <c r="D357" s="59" t="s">
        <v>274</v>
      </c>
      <c r="E357" s="60"/>
      <c r="F357" s="60"/>
      <c r="G357" s="60"/>
      <c r="H357" s="227"/>
    </row>
    <row r="358" spans="1:8" s="32" customFormat="1" ht="22.5" customHeight="1" thickBot="1" thickTop="1">
      <c r="A358" s="62"/>
      <c r="B358" s="62"/>
      <c r="C358" s="62"/>
      <c r="D358" s="63" t="s">
        <v>275</v>
      </c>
      <c r="E358" s="64">
        <f>SUM(E355:E356)</f>
        <v>0</v>
      </c>
      <c r="F358" s="64">
        <f>SUM(F355:F356)</f>
        <v>0</v>
      </c>
      <c r="G358" s="64">
        <f>SUM(G355:G356)</f>
        <v>0</v>
      </c>
      <c r="H358" s="223" t="e">
        <f>(G358/F358)*100</f>
        <v>#DIV/0!</v>
      </c>
    </row>
    <row r="359" spans="1:8" ht="15">
      <c r="A359" s="32"/>
      <c r="B359" s="50"/>
      <c r="C359" s="50"/>
      <c r="D359" s="50"/>
      <c r="E359" s="75"/>
      <c r="F359" s="75"/>
      <c r="G359" s="75"/>
      <c r="H359" s="229"/>
    </row>
    <row r="360" spans="1:8" ht="15" hidden="1">
      <c r="A360" s="32"/>
      <c r="B360" s="50"/>
      <c r="C360" s="50"/>
      <c r="D360" s="50"/>
      <c r="E360" s="75"/>
      <c r="F360" s="75"/>
      <c r="G360" s="75"/>
      <c r="H360" s="229"/>
    </row>
    <row r="361" spans="1:8" ht="15" hidden="1">
      <c r="A361" s="32"/>
      <c r="B361" s="50"/>
      <c r="C361" s="50"/>
      <c r="D361" s="50"/>
      <c r="E361" s="75"/>
      <c r="F361" s="75"/>
      <c r="G361" s="75"/>
      <c r="H361" s="229"/>
    </row>
    <row r="362" spans="1:8" ht="15" hidden="1">
      <c r="A362" s="32"/>
      <c r="B362" s="50"/>
      <c r="C362" s="50"/>
      <c r="D362" s="50"/>
      <c r="E362" s="75"/>
      <c r="F362" s="75"/>
      <c r="G362" s="75"/>
      <c r="H362" s="229"/>
    </row>
    <row r="363" spans="1:8" ht="15" hidden="1">
      <c r="A363" s="32"/>
      <c r="B363" s="50"/>
      <c r="C363" s="50"/>
      <c r="D363" s="50"/>
      <c r="E363" s="75"/>
      <c r="F363" s="75"/>
      <c r="G363" s="75"/>
      <c r="H363" s="229"/>
    </row>
    <row r="364" spans="1:8" ht="15" hidden="1">
      <c r="A364" s="32"/>
      <c r="B364" s="50"/>
      <c r="C364" s="50"/>
      <c r="D364" s="50"/>
      <c r="E364" s="75"/>
      <c r="F364" s="75"/>
      <c r="G364" s="75"/>
      <c r="H364" s="229"/>
    </row>
    <row r="365" spans="1:8" ht="15" customHeight="1" hidden="1">
      <c r="A365" s="32"/>
      <c r="B365" s="50"/>
      <c r="C365" s="50"/>
      <c r="D365" s="50"/>
      <c r="E365" s="75"/>
      <c r="F365" s="75"/>
      <c r="G365" s="75"/>
      <c r="H365" s="229"/>
    </row>
    <row r="366" spans="1:8" ht="15" customHeight="1" thickBot="1">
      <c r="A366" s="32"/>
      <c r="B366" s="32"/>
      <c r="C366" s="32"/>
      <c r="D366" s="32"/>
      <c r="E366" s="33"/>
      <c r="F366" s="33"/>
      <c r="G366" s="33"/>
      <c r="H366" s="224"/>
    </row>
    <row r="367" spans="1:8" ht="15.75">
      <c r="A367" s="206" t="s">
        <v>25</v>
      </c>
      <c r="B367" s="206" t="s">
        <v>26</v>
      </c>
      <c r="C367" s="206" t="s">
        <v>27</v>
      </c>
      <c r="D367" s="207" t="s">
        <v>28</v>
      </c>
      <c r="E367" s="208" t="s">
        <v>29</v>
      </c>
      <c r="F367" s="208" t="s">
        <v>29</v>
      </c>
      <c r="G367" s="208" t="s">
        <v>7</v>
      </c>
      <c r="H367" s="218" t="s">
        <v>30</v>
      </c>
    </row>
    <row r="368" spans="1:8" ht="15.75" customHeight="1" thickBot="1">
      <c r="A368" s="209"/>
      <c r="B368" s="209"/>
      <c r="C368" s="209"/>
      <c r="D368" s="210"/>
      <c r="E368" s="211" t="s">
        <v>31</v>
      </c>
      <c r="F368" s="211" t="s">
        <v>32</v>
      </c>
      <c r="G368" s="212" t="s">
        <v>33</v>
      </c>
      <c r="H368" s="219" t="s">
        <v>34</v>
      </c>
    </row>
    <row r="369" spans="1:8" s="32" customFormat="1" ht="30.75" customHeight="1" thickBot="1" thickTop="1">
      <c r="A369" s="63"/>
      <c r="B369" s="79"/>
      <c r="C369" s="80"/>
      <c r="D369" s="81" t="s">
        <v>276</v>
      </c>
      <c r="E369" s="82">
        <f>SUM(E60,E103,E143,E171,E197,E221,E240,E260,E295,E344,E358)</f>
        <v>434937.1</v>
      </c>
      <c r="F369" s="82">
        <f>SUM(F60,F103,F143,F171,F197,F221,F240,F260,F295,F344,F358)</f>
        <v>431123</v>
      </c>
      <c r="G369" s="82">
        <f>SUM(G60,G103,G143,G171,G197,G221,G240,G260,G295,G344,G358)</f>
        <v>230893.30000000002</v>
      </c>
      <c r="H369" s="231">
        <f>(G369/F369)*100</f>
        <v>53.55624728905673</v>
      </c>
    </row>
    <row r="370" spans="1:8" ht="15" customHeight="1">
      <c r="A370" s="14"/>
      <c r="B370" s="83"/>
      <c r="C370" s="84"/>
      <c r="D370" s="85"/>
      <c r="E370" s="86"/>
      <c r="F370" s="86"/>
      <c r="G370" s="86"/>
      <c r="H370" s="232"/>
    </row>
    <row r="371" spans="1:8" ht="15" customHeight="1" hidden="1">
      <c r="A371" s="14"/>
      <c r="B371" s="83"/>
      <c r="C371" s="84"/>
      <c r="D371" s="85"/>
      <c r="E371" s="86"/>
      <c r="F371" s="86"/>
      <c r="G371" s="86"/>
      <c r="H371" s="232"/>
    </row>
    <row r="372" spans="1:8" ht="12.75" customHeight="1" hidden="1">
      <c r="A372" s="14"/>
      <c r="B372" s="83"/>
      <c r="C372" s="84"/>
      <c r="D372" s="85"/>
      <c r="E372" s="86"/>
      <c r="F372" s="86"/>
      <c r="G372" s="86"/>
      <c r="H372" s="232"/>
    </row>
    <row r="373" spans="1:8" ht="12.75" customHeight="1" hidden="1">
      <c r="A373" s="14"/>
      <c r="B373" s="83"/>
      <c r="C373" s="84"/>
      <c r="D373" s="85"/>
      <c r="E373" s="86"/>
      <c r="F373" s="86"/>
      <c r="G373" s="86"/>
      <c r="H373" s="232"/>
    </row>
    <row r="374" spans="1:8" ht="12.75" customHeight="1" hidden="1">
      <c r="A374" s="14"/>
      <c r="B374" s="83"/>
      <c r="C374" s="84"/>
      <c r="D374" s="85"/>
      <c r="E374" s="86"/>
      <c r="F374" s="86"/>
      <c r="G374" s="86"/>
      <c r="H374" s="232"/>
    </row>
    <row r="375" spans="1:8" ht="12.75" customHeight="1" hidden="1">
      <c r="A375" s="14"/>
      <c r="B375" s="83"/>
      <c r="C375" s="84"/>
      <c r="D375" s="85"/>
      <c r="E375" s="86"/>
      <c r="F375" s="86"/>
      <c r="G375" s="86"/>
      <c r="H375" s="232"/>
    </row>
    <row r="376" spans="1:8" ht="12.75" customHeight="1" hidden="1">
      <c r="A376" s="14"/>
      <c r="B376" s="83"/>
      <c r="C376" s="84"/>
      <c r="D376" s="85"/>
      <c r="E376" s="86"/>
      <c r="F376" s="86"/>
      <c r="G376" s="86"/>
      <c r="H376" s="232"/>
    </row>
    <row r="377" spans="1:8" ht="12.75" customHeight="1" hidden="1">
      <c r="A377" s="14"/>
      <c r="B377" s="83"/>
      <c r="C377" s="84"/>
      <c r="D377" s="85"/>
      <c r="E377" s="86"/>
      <c r="F377" s="86"/>
      <c r="G377" s="86"/>
      <c r="H377" s="232"/>
    </row>
    <row r="378" spans="1:8" ht="15" customHeight="1" hidden="1">
      <c r="A378" s="14"/>
      <c r="B378" s="83"/>
      <c r="C378" s="84"/>
      <c r="D378" s="85"/>
      <c r="E378" s="86"/>
      <c r="F378" s="86"/>
      <c r="G378" s="86"/>
      <c r="H378" s="232"/>
    </row>
    <row r="379" spans="1:8" ht="15" customHeight="1" thickBot="1">
      <c r="A379" s="14"/>
      <c r="B379" s="83"/>
      <c r="C379" s="84"/>
      <c r="D379" s="85"/>
      <c r="E379" s="87"/>
      <c r="F379" s="87"/>
      <c r="G379" s="87"/>
      <c r="H379" s="233"/>
    </row>
    <row r="380" spans="1:8" ht="15.75">
      <c r="A380" s="206" t="s">
        <v>25</v>
      </c>
      <c r="B380" s="206" t="s">
        <v>26</v>
      </c>
      <c r="C380" s="206" t="s">
        <v>27</v>
      </c>
      <c r="D380" s="207" t="s">
        <v>28</v>
      </c>
      <c r="E380" s="208" t="s">
        <v>29</v>
      </c>
      <c r="F380" s="208" t="s">
        <v>29</v>
      </c>
      <c r="G380" s="208" t="s">
        <v>7</v>
      </c>
      <c r="H380" s="218" t="s">
        <v>30</v>
      </c>
    </row>
    <row r="381" spans="1:8" ht="15.75" customHeight="1" thickBot="1">
      <c r="A381" s="209"/>
      <c r="B381" s="209"/>
      <c r="C381" s="209"/>
      <c r="D381" s="210"/>
      <c r="E381" s="211" t="s">
        <v>31</v>
      </c>
      <c r="F381" s="211" t="s">
        <v>32</v>
      </c>
      <c r="G381" s="212" t="s">
        <v>33</v>
      </c>
      <c r="H381" s="219" t="s">
        <v>34</v>
      </c>
    </row>
    <row r="382" spans="1:8" ht="16.5" customHeight="1" thickTop="1">
      <c r="A382" s="70">
        <v>110</v>
      </c>
      <c r="B382" s="70"/>
      <c r="C382" s="70"/>
      <c r="D382" s="88" t="s">
        <v>277</v>
      </c>
      <c r="E382" s="89"/>
      <c r="F382" s="89"/>
      <c r="G382" s="89"/>
      <c r="H382" s="234"/>
    </row>
    <row r="383" spans="1:8" ht="14.25" customHeight="1">
      <c r="A383" s="90"/>
      <c r="B383" s="90"/>
      <c r="C383" s="90"/>
      <c r="D383" s="14"/>
      <c r="E383" s="89"/>
      <c r="F383" s="89"/>
      <c r="G383" s="89"/>
      <c r="H383" s="234"/>
    </row>
    <row r="384" spans="1:8" ht="15" customHeight="1">
      <c r="A384" s="21"/>
      <c r="B384" s="21"/>
      <c r="C384" s="21">
        <v>8115</v>
      </c>
      <c r="D384" s="55" t="s">
        <v>278</v>
      </c>
      <c r="E384" s="91">
        <v>75633.4</v>
      </c>
      <c r="F384" s="213">
        <v>119848.7</v>
      </c>
      <c r="G384" s="213">
        <v>-29709.2</v>
      </c>
      <c r="H384" s="221">
        <f>(G384/F384)*100</f>
        <v>-24.788921365021068</v>
      </c>
    </row>
    <row r="385" spans="1:8" ht="15" hidden="1">
      <c r="A385" s="21"/>
      <c r="B385" s="21"/>
      <c r="C385" s="21">
        <v>8123</v>
      </c>
      <c r="D385" s="92" t="s">
        <v>279</v>
      </c>
      <c r="E385" s="25">
        <v>0</v>
      </c>
      <c r="F385" s="25"/>
      <c r="G385" s="25"/>
      <c r="H385" s="221" t="e">
        <f>(G385/F385)*100</f>
        <v>#DIV/0!</v>
      </c>
    </row>
    <row r="386" spans="1:8" ht="14.25" customHeight="1">
      <c r="A386" s="21"/>
      <c r="B386" s="21"/>
      <c r="C386" s="21">
        <v>8124</v>
      </c>
      <c r="D386" s="55" t="s">
        <v>280</v>
      </c>
      <c r="E386" s="22">
        <v>-18032</v>
      </c>
      <c r="F386" s="22">
        <v>-18032</v>
      </c>
      <c r="G386" s="22">
        <v>-8840</v>
      </c>
      <c r="H386" s="221">
        <f>(G386/F386)*100</f>
        <v>49.02395740905058</v>
      </c>
    </row>
    <row r="387" spans="1:8" ht="15" customHeight="1" hidden="1">
      <c r="A387" s="27"/>
      <c r="B387" s="27"/>
      <c r="C387" s="27">
        <v>8902</v>
      </c>
      <c r="D387" s="93" t="s">
        <v>281</v>
      </c>
      <c r="E387" s="28"/>
      <c r="F387" s="28"/>
      <c r="G387" s="28"/>
      <c r="H387" s="235" t="e">
        <f>(#REF!/F387)*100</f>
        <v>#REF!</v>
      </c>
    </row>
    <row r="388" spans="1:8" ht="14.25" customHeight="1" hidden="1">
      <c r="A388" s="21"/>
      <c r="B388" s="21"/>
      <c r="C388" s="21">
        <v>8905</v>
      </c>
      <c r="D388" s="55" t="s">
        <v>282</v>
      </c>
      <c r="E388" s="22"/>
      <c r="F388" s="22"/>
      <c r="G388" s="22"/>
      <c r="H388" s="221" t="e">
        <f>(#REF!/F388)*100</f>
        <v>#REF!</v>
      </c>
    </row>
    <row r="389" spans="1:8" ht="15" customHeight="1" thickBot="1">
      <c r="A389" s="59"/>
      <c r="B389" s="59"/>
      <c r="C389" s="59"/>
      <c r="D389" s="58"/>
      <c r="E389" s="60"/>
      <c r="F389" s="60"/>
      <c r="G389" s="60"/>
      <c r="H389" s="227"/>
    </row>
    <row r="390" spans="1:8" s="32" customFormat="1" ht="22.5" customHeight="1" thickBot="1" thickTop="1">
      <c r="A390" s="62"/>
      <c r="B390" s="62"/>
      <c r="C390" s="62"/>
      <c r="D390" s="94" t="s">
        <v>283</v>
      </c>
      <c r="E390" s="64">
        <f>SUM(E384:E388)</f>
        <v>57601.399999999994</v>
      </c>
      <c r="F390" s="64">
        <f>SUM(F384:F388)</f>
        <v>101816.7</v>
      </c>
      <c r="G390" s="64">
        <f>SUM(G384:G388)</f>
        <v>-38549.2</v>
      </c>
      <c r="H390" s="236">
        <f>(G390/F390)*100</f>
        <v>-37.86137244675972</v>
      </c>
    </row>
    <row r="391" spans="1:8" s="32" customFormat="1" ht="22.5" customHeight="1">
      <c r="A391" s="50"/>
      <c r="B391" s="50"/>
      <c r="C391" s="50"/>
      <c r="D391" s="14"/>
      <c r="E391" s="51"/>
      <c r="F391" s="95"/>
      <c r="G391" s="51"/>
      <c r="H391" s="225"/>
    </row>
    <row r="392" spans="1:8" ht="15" customHeight="1">
      <c r="A392" s="32" t="s">
        <v>284</v>
      </c>
      <c r="B392" s="32"/>
      <c r="C392" s="32"/>
      <c r="D392" s="14"/>
      <c r="E392" s="51"/>
      <c r="F392" s="95"/>
      <c r="G392" s="51"/>
      <c r="H392" s="225"/>
    </row>
    <row r="393" spans="1:8" ht="15">
      <c r="A393" s="50"/>
      <c r="B393" s="32"/>
      <c r="C393" s="50"/>
      <c r="D393" s="32"/>
      <c r="E393" s="33"/>
      <c r="F393" s="96"/>
      <c r="G393" s="33"/>
      <c r="H393" s="224"/>
    </row>
    <row r="394" spans="1:8" ht="15" hidden="1">
      <c r="A394" s="50"/>
      <c r="B394" s="50"/>
      <c r="C394" s="50"/>
      <c r="D394" s="32"/>
      <c r="E394" s="33"/>
      <c r="F394" s="33"/>
      <c r="G394" s="33"/>
      <c r="H394" s="224"/>
    </row>
    <row r="395" spans="1:8" ht="15" hidden="1">
      <c r="A395" s="97"/>
      <c r="B395" s="97"/>
      <c r="C395" s="97"/>
      <c r="D395" s="98" t="s">
        <v>285</v>
      </c>
      <c r="E395" s="99" t="e">
        <f>SUM(E14,#REF!,#REF!,E230,E254,E286,#REF!)</f>
        <v>#REF!</v>
      </c>
      <c r="F395" s="99"/>
      <c r="G395" s="99"/>
      <c r="H395" s="237"/>
    </row>
    <row r="396" spans="1:8" ht="15">
      <c r="A396" s="97"/>
      <c r="B396" s="97"/>
      <c r="C396" s="97"/>
      <c r="D396" s="100" t="s">
        <v>286</v>
      </c>
      <c r="E396" s="101">
        <f>E369+E390</f>
        <v>492538.5</v>
      </c>
      <c r="F396" s="101">
        <f>F369+F390</f>
        <v>532939.7</v>
      </c>
      <c r="G396" s="101">
        <f>G369+G390</f>
        <v>192344.10000000003</v>
      </c>
      <c r="H396" s="221">
        <f>(G396/F396)*100</f>
        <v>36.0911562790312</v>
      </c>
    </row>
    <row r="397" spans="1:8" ht="15" hidden="1">
      <c r="A397" s="97"/>
      <c r="B397" s="97"/>
      <c r="C397" s="97"/>
      <c r="D397" s="100" t="s">
        <v>287</v>
      </c>
      <c r="E397" s="101"/>
      <c r="F397" s="101"/>
      <c r="G397" s="101"/>
      <c r="H397" s="238"/>
    </row>
    <row r="398" spans="1:8" ht="15" hidden="1">
      <c r="A398" s="97"/>
      <c r="B398" s="97"/>
      <c r="C398" s="97"/>
      <c r="D398" s="97" t="s">
        <v>288</v>
      </c>
      <c r="E398" s="102">
        <f>SUM(E257,E310,E317,E332,E335)</f>
        <v>12871</v>
      </c>
      <c r="F398" s="102"/>
      <c r="G398" s="102"/>
      <c r="H398" s="239"/>
    </row>
    <row r="399" spans="1:8" ht="15" hidden="1">
      <c r="A399" s="98"/>
      <c r="B399" s="98"/>
      <c r="C399" s="98"/>
      <c r="D399" s="98" t="s">
        <v>289</v>
      </c>
      <c r="E399" s="99"/>
      <c r="F399" s="99"/>
      <c r="G399" s="99"/>
      <c r="H399" s="237"/>
    </row>
    <row r="400" spans="1:8" ht="15" hidden="1">
      <c r="A400" s="98"/>
      <c r="B400" s="98"/>
      <c r="C400" s="98"/>
      <c r="D400" s="98" t="s">
        <v>288</v>
      </c>
      <c r="E400" s="99"/>
      <c r="F400" s="99"/>
      <c r="G400" s="99"/>
      <c r="H400" s="237"/>
    </row>
    <row r="401" spans="1:8" ht="15" hidden="1">
      <c r="A401" s="98"/>
      <c r="B401" s="98"/>
      <c r="C401" s="98"/>
      <c r="D401" s="98"/>
      <c r="E401" s="99"/>
      <c r="F401" s="99"/>
      <c r="G401" s="99"/>
      <c r="H401" s="237"/>
    </row>
    <row r="402" spans="1:8" ht="15" hidden="1">
      <c r="A402" s="98"/>
      <c r="B402" s="98"/>
      <c r="C402" s="98"/>
      <c r="D402" s="98" t="s">
        <v>290</v>
      </c>
      <c r="E402" s="99"/>
      <c r="F402" s="99"/>
      <c r="G402" s="99"/>
      <c r="H402" s="237"/>
    </row>
    <row r="403" spans="1:8" ht="15" hidden="1">
      <c r="A403" s="98"/>
      <c r="B403" s="98"/>
      <c r="C403" s="98"/>
      <c r="D403" s="98" t="s">
        <v>291</v>
      </c>
      <c r="E403" s="99"/>
      <c r="F403" s="99"/>
      <c r="G403" s="99"/>
      <c r="H403" s="237"/>
    </row>
    <row r="404" spans="1:8" ht="15" hidden="1">
      <c r="A404" s="98"/>
      <c r="B404" s="98"/>
      <c r="C404" s="98"/>
      <c r="D404" s="98" t="s">
        <v>292</v>
      </c>
      <c r="E404" s="99" t="e">
        <f>SUM(E9,E10,#REF!,#REF!,#REF!,E152,E182,E183,E184,E185,E186,#REF!,E208,E210,E255,E269,E270,E271,E272,E273,E274,#REF!,#REF!,E280,E282,E283,E284)</f>
        <v>#REF!</v>
      </c>
      <c r="F404" s="99"/>
      <c r="G404" s="99"/>
      <c r="H404" s="237"/>
    </row>
    <row r="405" spans="1:8" ht="15.75" hidden="1">
      <c r="A405" s="98"/>
      <c r="B405" s="98"/>
      <c r="C405" s="98"/>
      <c r="D405" s="103" t="s">
        <v>293</v>
      </c>
      <c r="E405" s="104">
        <v>0</v>
      </c>
      <c r="F405" s="104"/>
      <c r="G405" s="104"/>
      <c r="H405" s="240"/>
    </row>
    <row r="406" spans="1:8" ht="15" hidden="1">
      <c r="A406" s="98"/>
      <c r="B406" s="98"/>
      <c r="C406" s="98"/>
      <c r="D406" s="98"/>
      <c r="E406" s="99"/>
      <c r="F406" s="99"/>
      <c r="G406" s="99"/>
      <c r="H406" s="237"/>
    </row>
    <row r="407" spans="1:8" ht="15" hidden="1">
      <c r="A407" s="98"/>
      <c r="B407" s="98"/>
      <c r="C407" s="98"/>
      <c r="D407" s="98"/>
      <c r="E407" s="99"/>
      <c r="F407" s="99"/>
      <c r="G407" s="99"/>
      <c r="H407" s="237"/>
    </row>
    <row r="408" spans="1:8" ht="15">
      <c r="A408" s="98"/>
      <c r="B408" s="98"/>
      <c r="C408" s="98"/>
      <c r="D408" s="98"/>
      <c r="E408" s="99"/>
      <c r="F408" s="99"/>
      <c r="G408" s="99"/>
      <c r="H408" s="237"/>
    </row>
    <row r="409" spans="1:8" ht="15">
      <c r="A409" s="98"/>
      <c r="B409" s="98"/>
      <c r="C409" s="98"/>
      <c r="D409" s="98"/>
      <c r="E409" s="99"/>
      <c r="F409" s="99"/>
      <c r="G409" s="99"/>
      <c r="H409" s="237"/>
    </row>
    <row r="410" spans="1:8" ht="15.75" hidden="1">
      <c r="A410" s="98"/>
      <c r="B410" s="98"/>
      <c r="C410" s="98"/>
      <c r="D410" s="98" t="s">
        <v>289</v>
      </c>
      <c r="E410" s="104" t="e">
        <f>SUM(E9,E10,#REF!,#REF!,#REF!,E111,E152,E182,E183,E184,E185,E186,#REF!,E208,E209,E210,E254,E269,E270,E271,E272,E273,E274,#REF!,#REF!,E280,E282,E283,E284)</f>
        <v>#REF!</v>
      </c>
      <c r="F410" s="104" t="e">
        <f>SUM(F9,F10,#REF!,#REF!,#REF!,F111,F152,F182,F183,F184,F185,F186,#REF!,F208,F209,F210,F254,F269,F270,F271,F272,F273,F274,#REF!,#REF!,F280,F282,F283,F284)</f>
        <v>#REF!</v>
      </c>
      <c r="G410" s="104" t="e">
        <f>SUM(G9,G10,#REF!,#REF!,#REF!,G111,G152,G182,G183,G184,G185,G186,#REF!,G208,G209,G210,G254,G269,G270,G271,G272,G273,G274,#REF!,#REF!,G280,G282,G283,G284)</f>
        <v>#REF!</v>
      </c>
      <c r="H410" s="240" t="e">
        <f>SUM(H9,H10,#REF!,#REF!,#REF!,H111,H152,H182,H183,H184,H185,H186,#REF!,H208,H209,H210,H254,H269,H270,H271,H272,H273,H274,#REF!,#REF!,H280,H282,H283,H284)</f>
        <v>#REF!</v>
      </c>
    </row>
    <row r="411" spans="1:8" ht="15" hidden="1">
      <c r="A411" s="98"/>
      <c r="B411" s="98"/>
      <c r="C411" s="98"/>
      <c r="D411" s="98" t="s">
        <v>294</v>
      </c>
      <c r="E411" s="99">
        <f>SUM(E269,E270,E271,E272,E274)</f>
        <v>205700</v>
      </c>
      <c r="F411" s="99">
        <f>SUM(F269,F270,F271,F272,F274)</f>
        <v>205700</v>
      </c>
      <c r="G411" s="99">
        <f>SUM(G269,G270,G271,G272,G274)</f>
        <v>110959.29999999999</v>
      </c>
      <c r="H411" s="237">
        <f>SUM(H269,H270,H271,H272,H274)</f>
        <v>261.55112284452787</v>
      </c>
    </row>
    <row r="412" spans="1:8" ht="15" hidden="1">
      <c r="A412" s="98"/>
      <c r="B412" s="98"/>
      <c r="C412" s="98"/>
      <c r="D412" s="98" t="s">
        <v>295</v>
      </c>
      <c r="E412" s="99" t="e">
        <f>SUM(E9,#REF!,#REF!,#REF!,#REF!,#REF!,E280)</f>
        <v>#REF!</v>
      </c>
      <c r="F412" s="99" t="e">
        <f>SUM(F9,#REF!,#REF!,#REF!,#REF!,#REF!,F280)</f>
        <v>#REF!</v>
      </c>
      <c r="G412" s="99" t="e">
        <f>SUM(G9,#REF!,#REF!,#REF!,#REF!,#REF!,G280)</f>
        <v>#REF!</v>
      </c>
      <c r="H412" s="237" t="e">
        <f>SUM(H9,#REF!,#REF!,#REF!,#REF!,#REF!,H280)</f>
        <v>#REF!</v>
      </c>
    </row>
    <row r="413" spans="1:8" ht="15" hidden="1">
      <c r="A413" s="98"/>
      <c r="B413" s="98"/>
      <c r="C413" s="98"/>
      <c r="D413" s="98" t="s">
        <v>296</v>
      </c>
      <c r="E413" s="99" t="e">
        <f>SUM(E10,E111,E152,E186,#REF!,E210,E254,E283)</f>
        <v>#REF!</v>
      </c>
      <c r="F413" s="99" t="e">
        <f>SUM(F10,F111,F152,F186,#REF!,F210,F254,F283)</f>
        <v>#REF!</v>
      </c>
      <c r="G413" s="99" t="e">
        <f>SUM(G10,G111,G152,G186,#REF!,G210,G254,G283)</f>
        <v>#REF!</v>
      </c>
      <c r="H413" s="237" t="e">
        <f>SUM(H10,H111,H152,H186,#REF!,H210,H254,H283)</f>
        <v>#REF!</v>
      </c>
    </row>
    <row r="414" spans="1:8" ht="15" hidden="1">
      <c r="A414" s="98"/>
      <c r="B414" s="98"/>
      <c r="C414" s="98"/>
      <c r="D414" s="98" t="s">
        <v>297</v>
      </c>
      <c r="E414" s="99"/>
      <c r="F414" s="99"/>
      <c r="G414" s="99"/>
      <c r="H414" s="237"/>
    </row>
    <row r="415" spans="1:8" ht="15" hidden="1">
      <c r="A415" s="98"/>
      <c r="B415" s="98"/>
      <c r="C415" s="98"/>
      <c r="D415" s="98" t="s">
        <v>298</v>
      </c>
      <c r="E415" s="99" t="e">
        <f>+E369-E410-E418-E419</f>
        <v>#REF!</v>
      </c>
      <c r="F415" s="99" t="e">
        <f>+F369-F410-F418-F419</f>
        <v>#REF!</v>
      </c>
      <c r="G415" s="99" t="e">
        <f>+G369-G410-G418-G419</f>
        <v>#REF!</v>
      </c>
      <c r="H415" s="237" t="e">
        <f>+H369-H410-H418-H419</f>
        <v>#REF!</v>
      </c>
    </row>
    <row r="416" spans="1:8" ht="15" hidden="1">
      <c r="A416" s="98"/>
      <c r="B416" s="98"/>
      <c r="C416" s="98"/>
      <c r="D416" s="98" t="s">
        <v>299</v>
      </c>
      <c r="E416" s="99" t="e">
        <f>SUM(E28,E40,E51,E53,#REF!,#REF!,#REF!,E127,#REF!,E131,E304,E312,E324,E327)</f>
        <v>#REF!</v>
      </c>
      <c r="F416" s="99" t="e">
        <f>SUM(F28,F40,F51,F53,#REF!,#REF!,#REF!,F127,#REF!,F131,F304,F312,F324,F327)</f>
        <v>#REF!</v>
      </c>
      <c r="G416" s="99" t="e">
        <f>SUM(G28,G40,G51,G53,#REF!,#REF!,#REF!,G127,#REF!,G131,G304,G312,G324,G327)</f>
        <v>#REF!</v>
      </c>
      <c r="H416" s="237" t="e">
        <f>SUM(H28,H40,H51,H53,#REF!,#REF!,#REF!,H127,#REF!,H131,H304,H312,H324,H327)</f>
        <v>#REF!</v>
      </c>
    </row>
    <row r="417" spans="1:8" ht="15" hidden="1">
      <c r="A417" s="98"/>
      <c r="B417" s="98"/>
      <c r="C417" s="98"/>
      <c r="D417" s="98" t="s">
        <v>300</v>
      </c>
      <c r="E417" s="99" t="e">
        <f>SUM(E98,#REF!,E168,E193,#REF!,E216,E232,E256)</f>
        <v>#REF!</v>
      </c>
      <c r="F417" s="99" t="e">
        <f>SUM(F98,#REF!,F168,F193,#REF!,F216,F232,F256)</f>
        <v>#REF!</v>
      </c>
      <c r="G417" s="99" t="e">
        <f>SUM(G98,#REF!,G168,G193,#REF!,G216,G232,G256)</f>
        <v>#REF!</v>
      </c>
      <c r="H417" s="237" t="e">
        <f>SUM(H98,#REF!,H168,H193,#REF!,H216,H232,H256)</f>
        <v>#REF!</v>
      </c>
    </row>
    <row r="418" spans="1:8" ht="15" hidden="1">
      <c r="A418" s="98"/>
      <c r="B418" s="98"/>
      <c r="C418" s="98"/>
      <c r="D418" s="98" t="s">
        <v>288</v>
      </c>
      <c r="E418" s="99" t="e">
        <f>SUM(#REF!,E257,E310,E317,E332,E335)</f>
        <v>#REF!</v>
      </c>
      <c r="F418" s="99" t="e">
        <f>SUM(#REF!,F257,F310,F317,F332,F335)</f>
        <v>#REF!</v>
      </c>
      <c r="G418" s="99" t="e">
        <f>SUM(#REF!,G257,G310,G317,G332,G335)</f>
        <v>#REF!</v>
      </c>
      <c r="H418" s="237" t="e">
        <f>SUM(#REF!,H257,H310,H317,H332,H335)</f>
        <v>#REF!</v>
      </c>
    </row>
    <row r="419" spans="1:8" ht="15" hidden="1">
      <c r="A419" s="98"/>
      <c r="B419" s="98"/>
      <c r="C419" s="98"/>
      <c r="D419" s="98" t="s">
        <v>290</v>
      </c>
      <c r="E419" s="99" t="e">
        <f>SUM(E11,E14,E18,E81,#REF!,#REF!,#REF!,#REF!,E100,#REF!,#REF!,#REF!,#REF!,#REF!,#REF!,#REF!,E118,#REF!,E119,#REF!,E120,E122,#REF!,#REF!,#REF!,E188,E230,E255,E286)</f>
        <v>#REF!</v>
      </c>
      <c r="F419" s="99" t="e">
        <f>SUM(F11,F14,F18,F81,#REF!,#REF!,#REF!,#REF!,F100,#REF!,#REF!,#REF!,#REF!,#REF!,#REF!,#REF!,F118,#REF!,F119,#REF!,F120,F122,#REF!,#REF!,#REF!,F188,F230,F255,F286)</f>
        <v>#REF!</v>
      </c>
      <c r="G419" s="99" t="e">
        <f>SUM(G11,G14,G18,G81,#REF!,#REF!,#REF!,#REF!,G100,#REF!,#REF!,#REF!,#REF!,#REF!,#REF!,#REF!,G118,#REF!,G119,#REF!,G120,G122,#REF!,#REF!,#REF!,G188,G230,G255,G286)</f>
        <v>#REF!</v>
      </c>
      <c r="H419" s="237" t="e">
        <f>SUM(H11,H14,H18,H81,#REF!,#REF!,#REF!,#REF!,H100,#REF!,#REF!,#REF!,#REF!,#REF!,#REF!,#REF!,H118,#REF!,H119,#REF!,H120,H122,#REF!,#REF!,#REF!,H188,H230,H255,H286)</f>
        <v>#REF!</v>
      </c>
    </row>
    <row r="420" spans="1:8" ht="15" hidden="1">
      <c r="A420" s="98"/>
      <c r="B420" s="98"/>
      <c r="C420" s="98"/>
      <c r="D420" s="98"/>
      <c r="E420" s="99"/>
      <c r="F420" s="99"/>
      <c r="G420" s="99"/>
      <c r="H420" s="237"/>
    </row>
    <row r="421" spans="1:8" ht="15" hidden="1">
      <c r="A421" s="98"/>
      <c r="B421" s="98"/>
      <c r="C421" s="98"/>
      <c r="D421" s="98"/>
      <c r="E421" s="99"/>
      <c r="F421" s="99"/>
      <c r="G421" s="99"/>
      <c r="H421" s="237"/>
    </row>
    <row r="422" spans="1:8" ht="15" hidden="1">
      <c r="A422" s="98"/>
      <c r="B422" s="98"/>
      <c r="C422" s="98"/>
      <c r="D422" s="98"/>
      <c r="E422" s="99">
        <f>SUM(E307,E310,E317,E332,E335)</f>
        <v>12871</v>
      </c>
      <c r="F422" s="99">
        <f>SUM(F307,F310,F317,F332,F335)</f>
        <v>12871</v>
      </c>
      <c r="G422" s="99">
        <f>SUM(G307,G310,G317,G332,G335)</f>
        <v>3896.7</v>
      </c>
      <c r="H422" s="237" t="e">
        <f>SUM(H307,H310,H317,H332,H335)</f>
        <v>#DIV/0!</v>
      </c>
    </row>
    <row r="423" spans="1:8" ht="15" hidden="1">
      <c r="A423" s="98"/>
      <c r="B423" s="98"/>
      <c r="C423" s="98"/>
      <c r="D423" s="98"/>
      <c r="E423" s="99" t="e">
        <f>SUM(#REF!,#REF!,E100,#REF!,#REF!,#REF!,#REF!,#REF!,#REF!,E255)</f>
        <v>#REF!</v>
      </c>
      <c r="F423" s="99" t="e">
        <f>SUM(#REF!,#REF!,F100,#REF!,#REF!,#REF!,#REF!,#REF!,#REF!,F255)</f>
        <v>#REF!</v>
      </c>
      <c r="G423" s="99" t="e">
        <f>SUM(#REF!,#REF!,G100,#REF!,#REF!,#REF!,#REF!,#REF!,#REF!,G255)</f>
        <v>#REF!</v>
      </c>
      <c r="H423" s="237" t="e">
        <f>SUM(#REF!,#REF!,H100,#REF!,#REF!,#REF!,#REF!,#REF!,#REF!,H255)</f>
        <v>#REF!</v>
      </c>
    </row>
    <row r="424" spans="1:8" ht="15" hidden="1">
      <c r="A424" s="98"/>
      <c r="B424" s="98"/>
      <c r="C424" s="98"/>
      <c r="D424" s="98"/>
      <c r="E424" s="99"/>
      <c r="F424" s="99"/>
      <c r="G424" s="99"/>
      <c r="H424" s="237"/>
    </row>
    <row r="425" spans="1:8" ht="15" hidden="1">
      <c r="A425" s="98"/>
      <c r="B425" s="98"/>
      <c r="C425" s="98"/>
      <c r="D425" s="98"/>
      <c r="E425" s="99" t="e">
        <f>SUM(E422:E424)</f>
        <v>#REF!</v>
      </c>
      <c r="F425" s="99" t="e">
        <f>SUM(F422:F424)</f>
        <v>#REF!</v>
      </c>
      <c r="G425" s="99" t="e">
        <f>SUM(G422:G424)</f>
        <v>#REF!</v>
      </c>
      <c r="H425" s="237" t="e">
        <f>SUM(H422:H424)</f>
        <v>#DIV/0!</v>
      </c>
    </row>
    <row r="426" spans="1:8" ht="15">
      <c r="A426" s="98"/>
      <c r="B426" s="98"/>
      <c r="C426" s="98"/>
      <c r="D426" s="98"/>
      <c r="E426" s="99"/>
      <c r="F426" s="99"/>
      <c r="G426" s="99"/>
      <c r="H426" s="237"/>
    </row>
    <row r="427" spans="1:8" ht="15">
      <c r="A427" s="98"/>
      <c r="B427" s="98"/>
      <c r="C427" s="98"/>
      <c r="D427" s="98"/>
      <c r="E427" s="99"/>
      <c r="F427" s="99"/>
      <c r="G427" s="99"/>
      <c r="H427" s="237"/>
    </row>
    <row r="428" spans="1:8" ht="15">
      <c r="A428" s="98"/>
      <c r="B428" s="98"/>
      <c r="C428" s="98"/>
      <c r="D428" s="98"/>
      <c r="E428" s="99"/>
      <c r="F428" s="99"/>
      <c r="G428" s="99"/>
      <c r="H428" s="237"/>
    </row>
    <row r="429" spans="1:8" ht="15">
      <c r="A429" s="98"/>
      <c r="B429" s="98"/>
      <c r="C429" s="98"/>
      <c r="D429" s="98"/>
      <c r="E429" s="99"/>
      <c r="F429" s="99"/>
      <c r="G429" s="99"/>
      <c r="H429" s="237"/>
    </row>
    <row r="430" spans="1:8" ht="15">
      <c r="A430" s="98"/>
      <c r="B430" s="98"/>
      <c r="C430" s="98"/>
      <c r="D430" s="98"/>
      <c r="E430" s="99"/>
      <c r="F430" s="99"/>
      <c r="G430" s="99"/>
      <c r="H430" s="237"/>
    </row>
    <row r="431" spans="1:8" ht="15">
      <c r="A431" s="98"/>
      <c r="B431" s="98"/>
      <c r="C431" s="98"/>
      <c r="D431" s="98"/>
      <c r="E431" s="99"/>
      <c r="F431" s="99"/>
      <c r="G431" s="99"/>
      <c r="H431" s="237"/>
    </row>
    <row r="432" spans="1:8" ht="15">
      <c r="A432" s="98"/>
      <c r="B432" s="98"/>
      <c r="C432" s="98"/>
      <c r="D432" s="98"/>
      <c r="E432" s="99"/>
      <c r="F432" s="99"/>
      <c r="G432" s="99"/>
      <c r="H432" s="237"/>
    </row>
    <row r="433" spans="1:8" ht="15">
      <c r="A433" s="98"/>
      <c r="B433" s="98"/>
      <c r="C433" s="98"/>
      <c r="D433" s="98"/>
      <c r="E433" s="99"/>
      <c r="F433" s="99"/>
      <c r="G433" s="99"/>
      <c r="H433" s="237"/>
    </row>
    <row r="434" spans="1:8" ht="15">
      <c r="A434" s="98"/>
      <c r="B434" s="98"/>
      <c r="C434" s="98"/>
      <c r="D434" s="98"/>
      <c r="E434" s="99"/>
      <c r="F434" s="99"/>
      <c r="G434" s="99"/>
      <c r="H434" s="237"/>
    </row>
    <row r="435" spans="1:8" ht="15">
      <c r="A435" s="98"/>
      <c r="B435" s="98"/>
      <c r="C435" s="98"/>
      <c r="D435" s="98"/>
      <c r="E435" s="99"/>
      <c r="F435" s="99"/>
      <c r="G435" s="99"/>
      <c r="H435" s="237"/>
    </row>
    <row r="436" spans="1:8" ht="15">
      <c r="A436" s="98"/>
      <c r="B436" s="98"/>
      <c r="C436" s="98"/>
      <c r="D436" s="98"/>
      <c r="E436" s="99"/>
      <c r="F436" s="99"/>
      <c r="G436" s="99"/>
      <c r="H436" s="237"/>
    </row>
    <row r="437" spans="1:8" ht="15">
      <c r="A437" s="98"/>
      <c r="B437" s="98"/>
      <c r="C437" s="98"/>
      <c r="D437" s="98"/>
      <c r="E437" s="99"/>
      <c r="F437" s="99"/>
      <c r="G437" s="99"/>
      <c r="H437" s="237"/>
    </row>
    <row r="438" spans="1:8" ht="15">
      <c r="A438" s="98"/>
      <c r="B438" s="98"/>
      <c r="C438" s="98"/>
      <c r="D438" s="98"/>
      <c r="E438" s="99"/>
      <c r="F438" s="99"/>
      <c r="G438" s="99"/>
      <c r="H438" s="237"/>
    </row>
    <row r="439" spans="1:8" ht="15">
      <c r="A439" s="98"/>
      <c r="B439" s="98"/>
      <c r="C439" s="98"/>
      <c r="D439" s="98"/>
      <c r="E439" s="99"/>
      <c r="F439" s="99"/>
      <c r="G439" s="99"/>
      <c r="H439" s="237"/>
    </row>
    <row r="440" spans="1:8" ht="15">
      <c r="A440" s="98"/>
      <c r="B440" s="98"/>
      <c r="C440" s="98"/>
      <c r="D440" s="98"/>
      <c r="E440" s="99"/>
      <c r="F440" s="99"/>
      <c r="G440" s="99"/>
      <c r="H440" s="237"/>
    </row>
    <row r="441" spans="1:8" ht="15">
      <c r="A441" s="98"/>
      <c r="B441" s="98"/>
      <c r="C441" s="98"/>
      <c r="D441" s="98"/>
      <c r="E441" s="99"/>
      <c r="F441" s="99"/>
      <c r="G441" s="99"/>
      <c r="H441" s="237"/>
    </row>
    <row r="442" spans="1:8" ht="15">
      <c r="A442" s="98"/>
      <c r="B442" s="98"/>
      <c r="C442" s="98"/>
      <c r="D442" s="98"/>
      <c r="E442" s="99"/>
      <c r="F442" s="99"/>
      <c r="G442" s="99"/>
      <c r="H442" s="237"/>
    </row>
    <row r="443" spans="1:8" ht="15">
      <c r="A443" s="98"/>
      <c r="B443" s="98"/>
      <c r="C443" s="98"/>
      <c r="D443" s="98"/>
      <c r="E443" s="99"/>
      <c r="F443" s="99"/>
      <c r="G443" s="99"/>
      <c r="H443" s="237"/>
    </row>
    <row r="444" spans="1:8" ht="15">
      <c r="A444" s="98"/>
      <c r="B444" s="98"/>
      <c r="C444" s="98"/>
      <c r="D444" s="98"/>
      <c r="E444" s="99"/>
      <c r="F444" s="99"/>
      <c r="G444" s="99"/>
      <c r="H444" s="237"/>
    </row>
    <row r="445" spans="1:8" ht="15">
      <c r="A445" s="98"/>
      <c r="B445" s="98"/>
      <c r="C445" s="98"/>
      <c r="D445" s="98"/>
      <c r="E445" s="99"/>
      <c r="F445" s="99"/>
      <c r="G445" s="99"/>
      <c r="H445" s="237"/>
    </row>
    <row r="446" spans="1:8" ht="15">
      <c r="A446" s="98"/>
      <c r="B446" s="98"/>
      <c r="C446" s="98"/>
      <c r="D446" s="98"/>
      <c r="E446" s="99"/>
      <c r="F446" s="99"/>
      <c r="G446" s="99"/>
      <c r="H446" s="237"/>
    </row>
    <row r="447" spans="1:8" ht="15">
      <c r="A447" s="98"/>
      <c r="B447" s="98"/>
      <c r="C447" s="98"/>
      <c r="D447" s="98"/>
      <c r="E447" s="99"/>
      <c r="F447" s="99"/>
      <c r="G447" s="99"/>
      <c r="H447" s="237"/>
    </row>
    <row r="448" spans="1:8" ht="15">
      <c r="A448" s="98"/>
      <c r="B448" s="98"/>
      <c r="C448" s="98"/>
      <c r="D448" s="98"/>
      <c r="E448" s="99"/>
      <c r="F448" s="99"/>
      <c r="G448" s="99"/>
      <c r="H448" s="237"/>
    </row>
    <row r="449" spans="1:8" ht="15">
      <c r="A449" s="98"/>
      <c r="B449" s="98"/>
      <c r="C449" s="98"/>
      <c r="D449" s="98"/>
      <c r="E449" s="99"/>
      <c r="F449" s="99"/>
      <c r="G449" s="99"/>
      <c r="H449" s="237"/>
    </row>
    <row r="450" spans="1:8" ht="15">
      <c r="A450" s="98"/>
      <c r="B450" s="98"/>
      <c r="C450" s="98"/>
      <c r="D450" s="98"/>
      <c r="E450" s="99"/>
      <c r="F450" s="99"/>
      <c r="G450" s="99"/>
      <c r="H450" s="237"/>
    </row>
    <row r="451" spans="1:8" ht="15">
      <c r="A451" s="98"/>
      <c r="B451" s="98"/>
      <c r="C451" s="98"/>
      <c r="D451" s="98"/>
      <c r="E451" s="99"/>
      <c r="F451" s="99"/>
      <c r="G451" s="99"/>
      <c r="H451" s="237"/>
    </row>
    <row r="452" spans="1:8" ht="15">
      <c r="A452" s="98"/>
      <c r="B452" s="98"/>
      <c r="C452" s="98"/>
      <c r="D452" s="98"/>
      <c r="E452" s="99"/>
      <c r="F452" s="99"/>
      <c r="G452" s="99"/>
      <c r="H452" s="237"/>
    </row>
    <row r="453" spans="1:8" ht="15">
      <c r="A453" s="98"/>
      <c r="B453" s="98"/>
      <c r="C453" s="98"/>
      <c r="D453" s="98"/>
      <c r="E453" s="99"/>
      <c r="F453" s="99"/>
      <c r="G453" s="99"/>
      <c r="H453" s="237"/>
    </row>
    <row r="454" spans="1:8" ht="15">
      <c r="A454" s="98"/>
      <c r="B454" s="98"/>
      <c r="C454" s="98"/>
      <c r="D454" s="98"/>
      <c r="E454" s="99"/>
      <c r="F454" s="99"/>
      <c r="G454" s="99"/>
      <c r="H454" s="237"/>
    </row>
    <row r="455" spans="1:8" ht="15">
      <c r="A455" s="98"/>
      <c r="B455" s="98"/>
      <c r="C455" s="98"/>
      <c r="D455" s="98"/>
      <c r="E455" s="99"/>
      <c r="F455" s="99"/>
      <c r="G455" s="99"/>
      <c r="H455" s="237"/>
    </row>
    <row r="456" spans="1:8" ht="15">
      <c r="A456" s="98"/>
      <c r="B456" s="98"/>
      <c r="C456" s="98"/>
      <c r="D456" s="98"/>
      <c r="E456" s="99"/>
      <c r="F456" s="99"/>
      <c r="G456" s="99"/>
      <c r="H456" s="237"/>
    </row>
    <row r="457" spans="1:8" ht="15">
      <c r="A457" s="98"/>
      <c r="B457" s="98"/>
      <c r="C457" s="98"/>
      <c r="D457" s="98"/>
      <c r="E457" s="99"/>
      <c r="F457" s="99"/>
      <c r="G457" s="99"/>
      <c r="H457" s="237"/>
    </row>
    <row r="458" spans="1:8" ht="15">
      <c r="A458" s="98"/>
      <c r="B458" s="98"/>
      <c r="C458" s="98"/>
      <c r="D458" s="98"/>
      <c r="E458" s="99"/>
      <c r="F458" s="99"/>
      <c r="G458" s="99"/>
      <c r="H458" s="237"/>
    </row>
    <row r="459" spans="1:8" ht="15">
      <c r="A459" s="98"/>
      <c r="B459" s="98"/>
      <c r="C459" s="98"/>
      <c r="D459" s="98"/>
      <c r="E459" s="99"/>
      <c r="F459" s="99"/>
      <c r="G459" s="99"/>
      <c r="H459" s="237"/>
    </row>
    <row r="460" spans="1:8" ht="15">
      <c r="A460" s="98"/>
      <c r="B460" s="98"/>
      <c r="C460" s="98"/>
      <c r="D460" s="98"/>
      <c r="E460" s="99"/>
      <c r="F460" s="99"/>
      <c r="G460" s="99"/>
      <c r="H460" s="237"/>
    </row>
    <row r="461" spans="1:8" ht="15">
      <c r="A461" s="98"/>
      <c r="B461" s="98"/>
      <c r="C461" s="98"/>
      <c r="D461" s="98"/>
      <c r="E461" s="99"/>
      <c r="F461" s="99"/>
      <c r="G461" s="99"/>
      <c r="H461" s="237"/>
    </row>
  </sheetData>
  <sheetProtection/>
  <mergeCells count="2">
    <mergeCell ref="A1:C1"/>
    <mergeCell ref="A3:E3"/>
  </mergeCells>
  <printOptions/>
  <pageMargins left="0.3149606299212598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31"/>
  <sheetViews>
    <sheetView zoomScale="80" zoomScaleNormal="80" zoomScaleSheetLayoutView="100" zoomScalePageLayoutView="0" workbookViewId="0" topLeftCell="A291">
      <selection activeCell="K313" sqref="K313"/>
    </sheetView>
  </sheetViews>
  <sheetFormatPr defaultColWidth="9.140625" defaultRowHeight="12.75"/>
  <cols>
    <col min="1" max="1" width="13.7109375" style="105" customWidth="1"/>
    <col min="2" max="2" width="10.8515625" style="105" bestFit="1" customWidth="1"/>
    <col min="3" max="3" width="79.7109375" style="105" customWidth="1"/>
    <col min="4" max="4" width="15.7109375" style="105" customWidth="1"/>
    <col min="5" max="5" width="15.8515625" style="105" customWidth="1"/>
    <col min="6" max="6" width="16.00390625" style="105" customWidth="1"/>
    <col min="7" max="7" width="9.8515625" style="252" bestFit="1" customWidth="1"/>
    <col min="8" max="16384" width="9.140625" style="105" customWidth="1"/>
  </cols>
  <sheetData>
    <row r="1" spans="1:7" ht="21" customHeight="1">
      <c r="A1" s="12" t="s">
        <v>479</v>
      </c>
      <c r="B1" s="13"/>
      <c r="C1" s="177"/>
      <c r="D1" s="176"/>
      <c r="E1" s="131"/>
      <c r="F1" s="131"/>
      <c r="G1" s="251"/>
    </row>
    <row r="2" spans="1:5" ht="15.75" customHeight="1">
      <c r="A2" s="12"/>
      <c r="B2" s="13"/>
      <c r="C2" s="156"/>
      <c r="E2" s="175"/>
    </row>
    <row r="3" spans="1:7" s="171" customFormat="1" ht="24" customHeight="1">
      <c r="A3" s="174" t="s">
        <v>478</v>
      </c>
      <c r="B3" s="174"/>
      <c r="C3" s="174"/>
      <c r="D3" s="173"/>
      <c r="E3" s="172"/>
      <c r="F3" s="130"/>
      <c r="G3" s="253"/>
    </row>
    <row r="4" spans="4:7" s="98" customFormat="1" ht="15.75" customHeight="1" thickBot="1">
      <c r="D4" s="169"/>
      <c r="E4" s="170"/>
      <c r="F4" s="130" t="s">
        <v>3</v>
      </c>
      <c r="G4" s="254"/>
    </row>
    <row r="5" spans="1:7" s="98" customFormat="1" ht="15.75" customHeight="1">
      <c r="A5" s="242" t="s">
        <v>25</v>
      </c>
      <c r="B5" s="243" t="s">
        <v>26</v>
      </c>
      <c r="C5" s="242" t="s">
        <v>28</v>
      </c>
      <c r="D5" s="242" t="s">
        <v>29</v>
      </c>
      <c r="E5" s="242" t="s">
        <v>29</v>
      </c>
      <c r="F5" s="208" t="s">
        <v>7</v>
      </c>
      <c r="G5" s="255" t="s">
        <v>303</v>
      </c>
    </row>
    <row r="6" spans="1:7" s="98" customFormat="1" ht="15.75" customHeight="1" thickBot="1">
      <c r="A6" s="244"/>
      <c r="B6" s="245"/>
      <c r="C6" s="246"/>
      <c r="D6" s="247" t="s">
        <v>31</v>
      </c>
      <c r="E6" s="247" t="s">
        <v>32</v>
      </c>
      <c r="F6" s="212" t="s">
        <v>33</v>
      </c>
      <c r="G6" s="256" t="s">
        <v>302</v>
      </c>
    </row>
    <row r="7" spans="1:7" s="98" customFormat="1" ht="16.5" customHeight="1" thickTop="1">
      <c r="A7" s="122">
        <v>10</v>
      </c>
      <c r="B7" s="141"/>
      <c r="C7" s="127" t="s">
        <v>477</v>
      </c>
      <c r="D7" s="168"/>
      <c r="E7" s="168"/>
      <c r="F7" s="168"/>
      <c r="G7" s="257"/>
    </row>
    <row r="8" spans="1:7" s="98" customFormat="1" ht="15" customHeight="1">
      <c r="A8" s="69"/>
      <c r="B8" s="140"/>
      <c r="C8" s="69"/>
      <c r="D8" s="71"/>
      <c r="E8" s="71"/>
      <c r="F8" s="71"/>
      <c r="G8" s="258"/>
    </row>
    <row r="9" spans="1:7" s="98" customFormat="1" ht="15" customHeight="1">
      <c r="A9" s="69"/>
      <c r="B9" s="138">
        <v>2143</v>
      </c>
      <c r="C9" s="36" t="s">
        <v>476</v>
      </c>
      <c r="D9" s="71">
        <v>4000</v>
      </c>
      <c r="E9" s="71">
        <v>3971</v>
      </c>
      <c r="F9" s="71">
        <v>1406.9</v>
      </c>
      <c r="G9" s="258">
        <f>(F9/E9)*100</f>
        <v>35.42936288088643</v>
      </c>
    </row>
    <row r="10" spans="1:7" s="98" customFormat="1" ht="15">
      <c r="A10" s="36"/>
      <c r="B10" s="138">
        <v>3111</v>
      </c>
      <c r="C10" s="36" t="s">
        <v>475</v>
      </c>
      <c r="D10" s="167">
        <v>8600</v>
      </c>
      <c r="E10" s="167">
        <v>8631.2</v>
      </c>
      <c r="F10" s="167">
        <v>4327.1</v>
      </c>
      <c r="G10" s="258">
        <f aca="true" t="shared" si="0" ref="G10:G32">(F10/E10)*100</f>
        <v>50.13323755677078</v>
      </c>
    </row>
    <row r="11" spans="1:7" s="98" customFormat="1" ht="15">
      <c r="A11" s="36"/>
      <c r="B11" s="138">
        <v>3113</v>
      </c>
      <c r="C11" s="36" t="s">
        <v>474</v>
      </c>
      <c r="D11" s="167">
        <v>30300</v>
      </c>
      <c r="E11" s="167">
        <v>32150.9</v>
      </c>
      <c r="F11" s="167">
        <v>16940.7</v>
      </c>
      <c r="G11" s="258">
        <f t="shared" si="0"/>
        <v>52.691215486969256</v>
      </c>
    </row>
    <row r="12" spans="1:7" s="98" customFormat="1" ht="15" hidden="1">
      <c r="A12" s="36"/>
      <c r="B12" s="138">
        <v>3114</v>
      </c>
      <c r="C12" s="36" t="s">
        <v>473</v>
      </c>
      <c r="D12" s="167"/>
      <c r="E12" s="167"/>
      <c r="F12" s="167"/>
      <c r="G12" s="258" t="e">
        <f t="shared" si="0"/>
        <v>#DIV/0!</v>
      </c>
    </row>
    <row r="13" spans="1:7" s="98" customFormat="1" ht="15">
      <c r="A13" s="36"/>
      <c r="B13" s="138">
        <v>3122</v>
      </c>
      <c r="C13" s="36" t="s">
        <v>472</v>
      </c>
      <c r="D13" s="167">
        <v>350</v>
      </c>
      <c r="E13" s="167">
        <v>350</v>
      </c>
      <c r="F13" s="167">
        <v>350</v>
      </c>
      <c r="G13" s="258">
        <f t="shared" si="0"/>
        <v>100</v>
      </c>
    </row>
    <row r="14" spans="1:7" s="98" customFormat="1" ht="15">
      <c r="A14" s="36"/>
      <c r="B14" s="138">
        <v>3231</v>
      </c>
      <c r="C14" s="36" t="s">
        <v>471</v>
      </c>
      <c r="D14" s="167">
        <v>780</v>
      </c>
      <c r="E14" s="167">
        <v>505</v>
      </c>
      <c r="F14" s="167">
        <v>454</v>
      </c>
      <c r="G14" s="258">
        <f t="shared" si="0"/>
        <v>89.9009900990099</v>
      </c>
    </row>
    <row r="15" spans="1:7" s="98" customFormat="1" ht="15">
      <c r="A15" s="36"/>
      <c r="B15" s="138">
        <v>3313</v>
      </c>
      <c r="C15" s="36" t="s">
        <v>470</v>
      </c>
      <c r="D15" s="71">
        <v>1460</v>
      </c>
      <c r="E15" s="71">
        <v>1464</v>
      </c>
      <c r="F15" s="71">
        <v>1015.3</v>
      </c>
      <c r="G15" s="258">
        <f t="shared" si="0"/>
        <v>69.35109289617486</v>
      </c>
    </row>
    <row r="16" spans="1:7" s="98" customFormat="1" ht="15" customHeight="1" hidden="1">
      <c r="A16" s="36"/>
      <c r="B16" s="138">
        <v>3314</v>
      </c>
      <c r="C16" s="36" t="s">
        <v>469</v>
      </c>
      <c r="D16" s="71"/>
      <c r="E16" s="71"/>
      <c r="F16" s="71"/>
      <c r="G16" s="258" t="e">
        <f t="shared" si="0"/>
        <v>#DIV/0!</v>
      </c>
    </row>
    <row r="17" spans="1:7" s="98" customFormat="1" ht="15">
      <c r="A17" s="36"/>
      <c r="B17" s="138">
        <v>3314</v>
      </c>
      <c r="C17" s="36" t="s">
        <v>468</v>
      </c>
      <c r="D17" s="71">
        <v>7040</v>
      </c>
      <c r="E17" s="71">
        <v>7045</v>
      </c>
      <c r="F17" s="71">
        <v>3521</v>
      </c>
      <c r="G17" s="258">
        <f t="shared" si="0"/>
        <v>49.97870830376153</v>
      </c>
    </row>
    <row r="18" spans="1:7" s="98" customFormat="1" ht="13.5" customHeight="1" hidden="1">
      <c r="A18" s="36"/>
      <c r="B18" s="138">
        <v>3315</v>
      </c>
      <c r="C18" s="36" t="s">
        <v>467</v>
      </c>
      <c r="D18" s="71"/>
      <c r="E18" s="71"/>
      <c r="F18" s="71"/>
      <c r="G18" s="258" t="e">
        <f t="shared" si="0"/>
        <v>#DIV/0!</v>
      </c>
    </row>
    <row r="19" spans="1:7" s="98" customFormat="1" ht="15">
      <c r="A19" s="36"/>
      <c r="B19" s="138">
        <v>3315</v>
      </c>
      <c r="C19" s="36" t="s">
        <v>466</v>
      </c>
      <c r="D19" s="71">
        <v>6850</v>
      </c>
      <c r="E19" s="71">
        <v>6728</v>
      </c>
      <c r="F19" s="71">
        <v>3888</v>
      </c>
      <c r="G19" s="258">
        <f t="shared" si="0"/>
        <v>57.78834720570749</v>
      </c>
    </row>
    <row r="20" spans="1:7" s="98" customFormat="1" ht="15">
      <c r="A20" s="36"/>
      <c r="B20" s="138">
        <v>3319</v>
      </c>
      <c r="C20" s="36" t="s">
        <v>465</v>
      </c>
      <c r="D20" s="71">
        <v>620</v>
      </c>
      <c r="E20" s="71">
        <v>645</v>
      </c>
      <c r="F20" s="71">
        <v>312.9</v>
      </c>
      <c r="G20" s="258">
        <f t="shared" si="0"/>
        <v>48.51162790697674</v>
      </c>
    </row>
    <row r="21" spans="1:7" s="98" customFormat="1" ht="15">
      <c r="A21" s="36"/>
      <c r="B21" s="138">
        <v>3322</v>
      </c>
      <c r="C21" s="36" t="s">
        <v>464</v>
      </c>
      <c r="D21" s="71">
        <v>50</v>
      </c>
      <c r="E21" s="71">
        <v>50</v>
      </c>
      <c r="F21" s="71">
        <v>0</v>
      </c>
      <c r="G21" s="258">
        <f t="shared" si="0"/>
        <v>0</v>
      </c>
    </row>
    <row r="22" spans="1:7" s="98" customFormat="1" ht="15">
      <c r="A22" s="36"/>
      <c r="B22" s="138">
        <v>3326</v>
      </c>
      <c r="C22" s="36" t="s">
        <v>463</v>
      </c>
      <c r="D22" s="71">
        <v>60</v>
      </c>
      <c r="E22" s="71">
        <v>30</v>
      </c>
      <c r="F22" s="71">
        <v>0</v>
      </c>
      <c r="G22" s="258">
        <f t="shared" si="0"/>
        <v>0</v>
      </c>
    </row>
    <row r="23" spans="1:7" s="98" customFormat="1" ht="15">
      <c r="A23" s="36"/>
      <c r="B23" s="138">
        <v>3330</v>
      </c>
      <c r="C23" s="36" t="s">
        <v>462</v>
      </c>
      <c r="D23" s="71">
        <v>50</v>
      </c>
      <c r="E23" s="71">
        <v>85</v>
      </c>
      <c r="F23" s="71">
        <v>45</v>
      </c>
      <c r="G23" s="258">
        <f t="shared" si="0"/>
        <v>52.94117647058824</v>
      </c>
    </row>
    <row r="24" spans="1:7" s="98" customFormat="1" ht="15">
      <c r="A24" s="36"/>
      <c r="B24" s="138">
        <v>3392</v>
      </c>
      <c r="C24" s="36" t="s">
        <v>461</v>
      </c>
      <c r="D24" s="71">
        <v>800</v>
      </c>
      <c r="E24" s="71">
        <v>822.3</v>
      </c>
      <c r="F24" s="71">
        <v>400</v>
      </c>
      <c r="G24" s="258">
        <f t="shared" si="0"/>
        <v>48.64404718472577</v>
      </c>
    </row>
    <row r="25" spans="1:7" s="98" customFormat="1" ht="15">
      <c r="A25" s="36"/>
      <c r="B25" s="138">
        <v>3399</v>
      </c>
      <c r="C25" s="36" t="s">
        <v>460</v>
      </c>
      <c r="D25" s="71">
        <v>2700</v>
      </c>
      <c r="E25" s="71">
        <v>2563.8</v>
      </c>
      <c r="F25" s="71">
        <v>643.9</v>
      </c>
      <c r="G25" s="258">
        <f t="shared" si="0"/>
        <v>25.115063577502145</v>
      </c>
    </row>
    <row r="26" spans="1:7" s="98" customFormat="1" ht="15">
      <c r="A26" s="36"/>
      <c r="B26" s="138">
        <v>3412</v>
      </c>
      <c r="C26" s="36" t="s">
        <v>459</v>
      </c>
      <c r="D26" s="71">
        <v>13438</v>
      </c>
      <c r="E26" s="71">
        <v>13839.4</v>
      </c>
      <c r="F26" s="71">
        <v>6568.5</v>
      </c>
      <c r="G26" s="258">
        <f t="shared" si="0"/>
        <v>47.46231773053745</v>
      </c>
    </row>
    <row r="27" spans="1:7" s="98" customFormat="1" ht="15">
      <c r="A27" s="36"/>
      <c r="B27" s="138">
        <v>3412</v>
      </c>
      <c r="C27" s="36" t="s">
        <v>458</v>
      </c>
      <c r="D27" s="71">
        <f>20284-13438</f>
        <v>6846</v>
      </c>
      <c r="E27" s="71">
        <f>20875.4-13839.4</f>
        <v>7036.000000000002</v>
      </c>
      <c r="F27" s="71">
        <f>10766.3-6568.5</f>
        <v>4197.799999999999</v>
      </c>
      <c r="G27" s="258">
        <f t="shared" si="0"/>
        <v>59.66173962478678</v>
      </c>
    </row>
    <row r="28" spans="1:7" s="98" customFormat="1" ht="15">
      <c r="A28" s="36"/>
      <c r="B28" s="138">
        <v>3419</v>
      </c>
      <c r="C28" s="36" t="s">
        <v>457</v>
      </c>
      <c r="D28" s="167">
        <v>2050</v>
      </c>
      <c r="E28" s="167">
        <v>1955</v>
      </c>
      <c r="F28" s="167">
        <v>1969.1</v>
      </c>
      <c r="G28" s="258">
        <f t="shared" si="0"/>
        <v>100.72122762148337</v>
      </c>
    </row>
    <row r="29" spans="1:7" s="98" customFormat="1" ht="15">
      <c r="A29" s="36"/>
      <c r="B29" s="138">
        <v>3421</v>
      </c>
      <c r="C29" s="36" t="s">
        <v>456</v>
      </c>
      <c r="D29" s="167">
        <v>3116</v>
      </c>
      <c r="E29" s="167">
        <v>3008.6</v>
      </c>
      <c r="F29" s="167">
        <v>2626.5</v>
      </c>
      <c r="G29" s="258">
        <f t="shared" si="0"/>
        <v>87.29974074320282</v>
      </c>
    </row>
    <row r="30" spans="1:7" s="98" customFormat="1" ht="15">
      <c r="A30" s="36"/>
      <c r="B30" s="138">
        <v>3429</v>
      </c>
      <c r="C30" s="36" t="s">
        <v>455</v>
      </c>
      <c r="D30" s="167">
        <v>1500</v>
      </c>
      <c r="E30" s="167">
        <v>1582</v>
      </c>
      <c r="F30" s="167">
        <v>1258.3</v>
      </c>
      <c r="G30" s="258">
        <f t="shared" si="0"/>
        <v>79.53855878634639</v>
      </c>
    </row>
    <row r="31" spans="1:7" s="98" customFormat="1" ht="15">
      <c r="A31" s="36"/>
      <c r="B31" s="138">
        <v>6223</v>
      </c>
      <c r="C31" s="36" t="s">
        <v>454</v>
      </c>
      <c r="D31" s="71">
        <v>150</v>
      </c>
      <c r="E31" s="71">
        <v>127.7</v>
      </c>
      <c r="F31" s="71">
        <v>0</v>
      </c>
      <c r="G31" s="258">
        <f t="shared" si="0"/>
        <v>0</v>
      </c>
    </row>
    <row r="32" spans="1:7" s="98" customFormat="1" ht="15">
      <c r="A32" s="36"/>
      <c r="B32" s="138">
        <v>6409</v>
      </c>
      <c r="C32" s="36" t="s">
        <v>453</v>
      </c>
      <c r="D32" s="71">
        <v>1000</v>
      </c>
      <c r="E32" s="71">
        <v>702</v>
      </c>
      <c r="F32" s="71">
        <v>0</v>
      </c>
      <c r="G32" s="258">
        <f t="shared" si="0"/>
        <v>0</v>
      </c>
    </row>
    <row r="33" spans="1:7" s="98" customFormat="1" ht="14.25" customHeight="1" thickBot="1">
      <c r="A33" s="136"/>
      <c r="B33" s="166"/>
      <c r="C33" s="165"/>
      <c r="D33" s="132"/>
      <c r="E33" s="132"/>
      <c r="F33" s="132"/>
      <c r="G33" s="259"/>
    </row>
    <row r="34" spans="1:7" s="98" customFormat="1" ht="18.75" customHeight="1" thickBot="1" thickTop="1">
      <c r="A34" s="123"/>
      <c r="B34" s="144"/>
      <c r="C34" s="143" t="s">
        <v>452</v>
      </c>
      <c r="D34" s="112">
        <f>SUM(D9:D33)</f>
        <v>91760</v>
      </c>
      <c r="E34" s="112">
        <f>SUM(E9:E33)</f>
        <v>93291.90000000001</v>
      </c>
      <c r="F34" s="112">
        <f>SUM(F9:F33)</f>
        <v>49925.00000000001</v>
      </c>
      <c r="G34" s="260">
        <f>(F34/E34)*100</f>
        <v>53.51482818979998</v>
      </c>
    </row>
    <row r="35" spans="1:7" s="98" customFormat="1" ht="15.75" customHeight="1">
      <c r="A35" s="97"/>
      <c r="B35" s="100"/>
      <c r="C35" s="111"/>
      <c r="D35" s="142"/>
      <c r="E35" s="142"/>
      <c r="F35" s="142"/>
      <c r="G35" s="261"/>
    </row>
    <row r="36" spans="1:7" s="98" customFormat="1" ht="18.75" customHeight="1" hidden="1">
      <c r="A36" s="97"/>
      <c r="B36" s="100"/>
      <c r="C36" s="111"/>
      <c r="D36" s="142"/>
      <c r="E36" s="142"/>
      <c r="F36" s="142"/>
      <c r="G36" s="261"/>
    </row>
    <row r="37" spans="1:7" s="98" customFormat="1" ht="18.75" customHeight="1" hidden="1">
      <c r="A37" s="97"/>
      <c r="B37" s="100"/>
      <c r="C37" s="111"/>
      <c r="D37" s="142"/>
      <c r="E37" s="142"/>
      <c r="F37" s="142"/>
      <c r="G37" s="261"/>
    </row>
    <row r="38" spans="1:7" s="98" customFormat="1" ht="15.75" customHeight="1">
      <c r="A38" s="97"/>
      <c r="B38" s="100"/>
      <c r="C38" s="111"/>
      <c r="D38" s="142"/>
      <c r="E38" s="142"/>
      <c r="F38" s="142"/>
      <c r="G38" s="261"/>
    </row>
    <row r="39" spans="1:7" s="98" customFormat="1" ht="15.75" customHeight="1">
      <c r="A39" s="97"/>
      <c r="B39" s="100"/>
      <c r="C39" s="111"/>
      <c r="D39" s="110"/>
      <c r="E39" s="110"/>
      <c r="F39" s="110"/>
      <c r="G39" s="261"/>
    </row>
    <row r="40" spans="1:7" s="98" customFormat="1" ht="12.75" customHeight="1" hidden="1">
      <c r="A40" s="97"/>
      <c r="B40" s="100"/>
      <c r="C40" s="111"/>
      <c r="D40" s="110"/>
      <c r="E40" s="110"/>
      <c r="F40" s="110"/>
      <c r="G40" s="261"/>
    </row>
    <row r="41" spans="1:7" s="98" customFormat="1" ht="12.75" customHeight="1" hidden="1">
      <c r="A41" s="97"/>
      <c r="B41" s="100"/>
      <c r="C41" s="111"/>
      <c r="D41" s="110"/>
      <c r="E41" s="110"/>
      <c r="F41" s="110"/>
      <c r="G41" s="261"/>
    </row>
    <row r="42" spans="2:7" s="98" customFormat="1" ht="15.75" customHeight="1" thickBot="1">
      <c r="B42" s="128"/>
      <c r="G42" s="237"/>
    </row>
    <row r="43" spans="1:7" s="98" customFormat="1" ht="15.75">
      <c r="A43" s="242" t="s">
        <v>25</v>
      </c>
      <c r="B43" s="243" t="s">
        <v>26</v>
      </c>
      <c r="C43" s="242" t="s">
        <v>28</v>
      </c>
      <c r="D43" s="242" t="s">
        <v>29</v>
      </c>
      <c r="E43" s="242" t="s">
        <v>29</v>
      </c>
      <c r="F43" s="208" t="s">
        <v>7</v>
      </c>
      <c r="G43" s="255" t="s">
        <v>303</v>
      </c>
    </row>
    <row r="44" spans="1:7" s="98" customFormat="1" ht="15.75" customHeight="1" thickBot="1">
      <c r="A44" s="244"/>
      <c r="B44" s="245"/>
      <c r="C44" s="246"/>
      <c r="D44" s="247" t="s">
        <v>31</v>
      </c>
      <c r="E44" s="247" t="s">
        <v>32</v>
      </c>
      <c r="F44" s="212" t="s">
        <v>33</v>
      </c>
      <c r="G44" s="256" t="s">
        <v>302</v>
      </c>
    </row>
    <row r="45" spans="1:7" s="98" customFormat="1" ht="16.5" customHeight="1" thickTop="1">
      <c r="A45" s="122">
        <v>20</v>
      </c>
      <c r="B45" s="141"/>
      <c r="C45" s="19" t="s">
        <v>451</v>
      </c>
      <c r="D45" s="57"/>
      <c r="E45" s="57"/>
      <c r="F45" s="57"/>
      <c r="G45" s="262"/>
    </row>
    <row r="46" spans="1:7" s="98" customFormat="1" ht="15" customHeight="1">
      <c r="A46" s="69"/>
      <c r="B46" s="140"/>
      <c r="C46" s="19"/>
      <c r="D46" s="71"/>
      <c r="E46" s="71"/>
      <c r="F46" s="71"/>
      <c r="G46" s="258"/>
    </row>
    <row r="47" spans="1:7" s="98" customFormat="1" ht="15">
      <c r="A47" s="36"/>
      <c r="B47" s="138">
        <v>2212</v>
      </c>
      <c r="C47" s="72" t="s">
        <v>450</v>
      </c>
      <c r="D47" s="22">
        <f>23284-12267</f>
        <v>11017</v>
      </c>
      <c r="E47" s="22">
        <f>29980.8-3000-12861.6</f>
        <v>14119.199999999999</v>
      </c>
      <c r="F47" s="22">
        <f>5295.5-120.7</f>
        <v>5174.8</v>
      </c>
      <c r="G47" s="258">
        <f aca="true" t="shared" si="1" ref="G47:G110">(F47/E47)*100</f>
        <v>36.65080174514137</v>
      </c>
    </row>
    <row r="48" spans="1:7" s="98" customFormat="1" ht="15" customHeight="1">
      <c r="A48" s="36"/>
      <c r="B48" s="138">
        <v>2219</v>
      </c>
      <c r="C48" s="72" t="s">
        <v>449</v>
      </c>
      <c r="D48" s="22">
        <f>18169-2500-7839</f>
        <v>7830</v>
      </c>
      <c r="E48" s="22">
        <f>36878.9-2500-26009.1</f>
        <v>8369.800000000003</v>
      </c>
      <c r="F48" s="22">
        <f>4479.4-1147.6</f>
        <v>3331.7999999999997</v>
      </c>
      <c r="G48" s="258">
        <f t="shared" si="1"/>
        <v>39.80740280532389</v>
      </c>
    </row>
    <row r="49" spans="1:7" s="98" customFormat="1" ht="15">
      <c r="A49" s="36"/>
      <c r="B49" s="138">
        <v>2221</v>
      </c>
      <c r="C49" s="72" t="s">
        <v>448</v>
      </c>
      <c r="D49" s="22">
        <f>65450-65350</f>
        <v>100</v>
      </c>
      <c r="E49" s="22">
        <f>3.7+100</f>
        <v>103.7</v>
      </c>
      <c r="F49" s="22">
        <f>3.6+0</f>
        <v>3.6</v>
      </c>
      <c r="G49" s="258">
        <f t="shared" si="1"/>
        <v>3.4715525554484086</v>
      </c>
    </row>
    <row r="50" spans="1:7" s="98" customFormat="1" ht="15">
      <c r="A50" s="36"/>
      <c r="B50" s="138">
        <v>2229</v>
      </c>
      <c r="C50" s="72" t="s">
        <v>447</v>
      </c>
      <c r="D50" s="22">
        <v>10</v>
      </c>
      <c r="E50" s="22">
        <v>10</v>
      </c>
      <c r="F50" s="22">
        <v>0.8</v>
      </c>
      <c r="G50" s="258">
        <f t="shared" si="1"/>
        <v>8</v>
      </c>
    </row>
    <row r="51" spans="1:7" s="98" customFormat="1" ht="15" hidden="1">
      <c r="A51" s="36"/>
      <c r="B51" s="138">
        <v>2241</v>
      </c>
      <c r="C51" s="72" t="s">
        <v>446</v>
      </c>
      <c r="D51" s="22"/>
      <c r="E51" s="22"/>
      <c r="F51" s="22"/>
      <c r="G51" s="258" t="e">
        <f t="shared" si="1"/>
        <v>#DIV/0!</v>
      </c>
    </row>
    <row r="52" spans="1:7" s="98" customFormat="1" ht="15" hidden="1">
      <c r="A52" s="36"/>
      <c r="B52" s="138">
        <v>2310</v>
      </c>
      <c r="C52" s="72" t="s">
        <v>445</v>
      </c>
      <c r="D52" s="22"/>
      <c r="E52" s="22"/>
      <c r="F52" s="22"/>
      <c r="G52" s="258" t="e">
        <f t="shared" si="1"/>
        <v>#DIV/0!</v>
      </c>
    </row>
    <row r="53" spans="1:7" s="98" customFormat="1" ht="15">
      <c r="A53" s="36"/>
      <c r="B53" s="138">
        <v>2321</v>
      </c>
      <c r="C53" s="72" t="s">
        <v>444</v>
      </c>
      <c r="D53" s="22">
        <v>50</v>
      </c>
      <c r="E53" s="22">
        <v>50</v>
      </c>
      <c r="F53" s="22">
        <v>6.9</v>
      </c>
      <c r="G53" s="258">
        <f t="shared" si="1"/>
        <v>13.8</v>
      </c>
    </row>
    <row r="54" spans="1:7" s="103" customFormat="1" ht="15.75">
      <c r="A54" s="36"/>
      <c r="B54" s="138">
        <v>2331</v>
      </c>
      <c r="C54" s="72" t="s">
        <v>443</v>
      </c>
      <c r="D54" s="71">
        <v>0</v>
      </c>
      <c r="E54" s="71">
        <f>759.1-727</f>
        <v>32.10000000000002</v>
      </c>
      <c r="F54" s="71">
        <f>58.7-36.3</f>
        <v>22.400000000000006</v>
      </c>
      <c r="G54" s="258">
        <f t="shared" si="1"/>
        <v>69.78193146417442</v>
      </c>
    </row>
    <row r="55" spans="1:7" s="98" customFormat="1" ht="15">
      <c r="A55" s="36"/>
      <c r="B55" s="138">
        <v>3111</v>
      </c>
      <c r="C55" s="164" t="s">
        <v>442</v>
      </c>
      <c r="D55" s="22">
        <f>10321-10321</f>
        <v>0</v>
      </c>
      <c r="E55" s="22">
        <f>16938.3-15940</f>
        <v>998.2999999999993</v>
      </c>
      <c r="F55" s="20">
        <f>817.5-170.3</f>
        <v>647.2</v>
      </c>
      <c r="G55" s="258">
        <f t="shared" si="1"/>
        <v>64.83021135931088</v>
      </c>
    </row>
    <row r="56" spans="1:7" s="98" customFormat="1" ht="15">
      <c r="A56" s="36"/>
      <c r="B56" s="138">
        <v>3113</v>
      </c>
      <c r="C56" s="164" t="s">
        <v>441</v>
      </c>
      <c r="D56" s="22">
        <f>11824-11824</f>
        <v>0</v>
      </c>
      <c r="E56" s="22">
        <f>16001.5-15700</f>
        <v>301.5</v>
      </c>
      <c r="F56" s="20">
        <f>397.3-114.1</f>
        <v>283.20000000000005</v>
      </c>
      <c r="G56" s="258">
        <f t="shared" si="1"/>
        <v>93.93034825870649</v>
      </c>
    </row>
    <row r="57" spans="1:7" s="103" customFormat="1" ht="15.75">
      <c r="A57" s="36"/>
      <c r="B57" s="138">
        <v>3231</v>
      </c>
      <c r="C57" s="72" t="s">
        <v>440</v>
      </c>
      <c r="D57" s="71">
        <v>0</v>
      </c>
      <c r="E57" s="71">
        <v>374.5</v>
      </c>
      <c r="F57" s="71">
        <v>94.4</v>
      </c>
      <c r="G57" s="258">
        <f t="shared" si="1"/>
        <v>25.206942590120164</v>
      </c>
    </row>
    <row r="58" spans="1:7" s="103" customFormat="1" ht="15.75">
      <c r="A58" s="36"/>
      <c r="B58" s="138">
        <v>3313</v>
      </c>
      <c r="C58" s="72" t="s">
        <v>439</v>
      </c>
      <c r="D58" s="71">
        <f>400-400</f>
        <v>0</v>
      </c>
      <c r="E58" s="71">
        <f>465.7-400</f>
        <v>65.69999999999999</v>
      </c>
      <c r="F58" s="71">
        <f>22-0</f>
        <v>22</v>
      </c>
      <c r="G58" s="258">
        <f t="shared" si="1"/>
        <v>33.48554033485541</v>
      </c>
    </row>
    <row r="59" spans="1:7" s="98" customFormat="1" ht="15">
      <c r="A59" s="36"/>
      <c r="B59" s="138">
        <v>3322</v>
      </c>
      <c r="C59" s="164" t="s">
        <v>438</v>
      </c>
      <c r="D59" s="22">
        <v>0</v>
      </c>
      <c r="E59" s="22">
        <v>36.4</v>
      </c>
      <c r="F59" s="22">
        <v>8.2</v>
      </c>
      <c r="G59" s="258">
        <f t="shared" si="1"/>
        <v>22.527472527472526</v>
      </c>
    </row>
    <row r="60" spans="1:7" s="98" customFormat="1" ht="15">
      <c r="A60" s="36"/>
      <c r="B60" s="138">
        <v>3326</v>
      </c>
      <c r="C60" s="164" t="s">
        <v>437</v>
      </c>
      <c r="D60" s="22">
        <v>0</v>
      </c>
      <c r="E60" s="22">
        <v>6.6</v>
      </c>
      <c r="F60" s="22">
        <v>6.5</v>
      </c>
      <c r="G60" s="258">
        <f t="shared" si="1"/>
        <v>98.48484848484848</v>
      </c>
    </row>
    <row r="61" spans="1:7" s="103" customFormat="1" ht="15.75">
      <c r="A61" s="36"/>
      <c r="B61" s="138">
        <v>3392</v>
      </c>
      <c r="C61" s="72" t="s">
        <v>436</v>
      </c>
      <c r="D61" s="71">
        <v>0</v>
      </c>
      <c r="E61" s="71">
        <v>170.8</v>
      </c>
      <c r="F61" s="71">
        <v>150.2</v>
      </c>
      <c r="G61" s="258">
        <f t="shared" si="1"/>
        <v>87.9391100702576</v>
      </c>
    </row>
    <row r="62" spans="1:7" s="98" customFormat="1" ht="15">
      <c r="A62" s="36"/>
      <c r="B62" s="138">
        <v>3412</v>
      </c>
      <c r="C62" s="164" t="s">
        <v>435</v>
      </c>
      <c r="D62" s="22">
        <v>0</v>
      </c>
      <c r="E62" s="22">
        <v>127.8</v>
      </c>
      <c r="F62" s="22">
        <v>127.8</v>
      </c>
      <c r="G62" s="258">
        <f t="shared" si="1"/>
        <v>100</v>
      </c>
    </row>
    <row r="63" spans="1:7" s="98" customFormat="1" ht="15">
      <c r="A63" s="36"/>
      <c r="B63" s="138">
        <v>3421</v>
      </c>
      <c r="C63" s="164" t="s">
        <v>434</v>
      </c>
      <c r="D63" s="22">
        <v>24</v>
      </c>
      <c r="E63" s="22">
        <f>440.1-319.9</f>
        <v>120.20000000000005</v>
      </c>
      <c r="F63" s="22">
        <f>21-0</f>
        <v>21</v>
      </c>
      <c r="G63" s="258">
        <f t="shared" si="1"/>
        <v>17.470881863560724</v>
      </c>
    </row>
    <row r="64" spans="1:7" s="98" customFormat="1" ht="15" hidden="1">
      <c r="A64" s="36"/>
      <c r="B64" s="138">
        <v>3612</v>
      </c>
      <c r="C64" s="164" t="s">
        <v>433</v>
      </c>
      <c r="D64" s="22"/>
      <c r="E64" s="22"/>
      <c r="F64" s="22"/>
      <c r="G64" s="258" t="e">
        <f t="shared" si="1"/>
        <v>#DIV/0!</v>
      </c>
    </row>
    <row r="65" spans="1:7" s="98" customFormat="1" ht="15">
      <c r="A65" s="36"/>
      <c r="B65" s="138">
        <v>3613</v>
      </c>
      <c r="C65" s="164" t="s">
        <v>432</v>
      </c>
      <c r="D65" s="22">
        <v>0</v>
      </c>
      <c r="E65" s="22">
        <v>95.3</v>
      </c>
      <c r="F65" s="22">
        <v>42</v>
      </c>
      <c r="G65" s="258">
        <f t="shared" si="1"/>
        <v>44.07135362014691</v>
      </c>
    </row>
    <row r="66" spans="1:7" s="98" customFormat="1" ht="15">
      <c r="A66" s="36"/>
      <c r="B66" s="138">
        <v>3631</v>
      </c>
      <c r="C66" s="164" t="s">
        <v>431</v>
      </c>
      <c r="D66" s="22">
        <v>7700</v>
      </c>
      <c r="E66" s="22">
        <v>8786.6</v>
      </c>
      <c r="F66" s="22">
        <v>5644.9</v>
      </c>
      <c r="G66" s="258">
        <f t="shared" si="1"/>
        <v>64.24441763594564</v>
      </c>
    </row>
    <row r="67" spans="1:7" s="103" customFormat="1" ht="15.75">
      <c r="A67" s="36"/>
      <c r="B67" s="138">
        <v>3632</v>
      </c>
      <c r="C67" s="72" t="s">
        <v>310</v>
      </c>
      <c r="D67" s="71">
        <v>0</v>
      </c>
      <c r="E67" s="71">
        <f>642-600</f>
        <v>42</v>
      </c>
      <c r="F67" s="71">
        <v>0</v>
      </c>
      <c r="G67" s="258">
        <f t="shared" si="1"/>
        <v>0</v>
      </c>
    </row>
    <row r="68" spans="1:7" s="98" customFormat="1" ht="15">
      <c r="A68" s="36"/>
      <c r="B68" s="138">
        <v>3635</v>
      </c>
      <c r="C68" s="164" t="s">
        <v>430</v>
      </c>
      <c r="D68" s="22">
        <f>3375-1405</f>
        <v>1970</v>
      </c>
      <c r="E68" s="22">
        <f>3076.2-1405</f>
        <v>1671.1999999999998</v>
      </c>
      <c r="F68" s="22">
        <f>25-0</f>
        <v>25</v>
      </c>
      <c r="G68" s="258">
        <f t="shared" si="1"/>
        <v>1.49593106749641</v>
      </c>
    </row>
    <row r="69" spans="1:7" s="103" customFormat="1" ht="15.75">
      <c r="A69" s="36"/>
      <c r="B69" s="138">
        <v>3639</v>
      </c>
      <c r="C69" s="72" t="s">
        <v>429</v>
      </c>
      <c r="D69" s="71">
        <v>216</v>
      </c>
      <c r="E69" s="71">
        <v>217.8</v>
      </c>
      <c r="F69" s="71">
        <v>217.8</v>
      </c>
      <c r="G69" s="258">
        <f t="shared" si="1"/>
        <v>100</v>
      </c>
    </row>
    <row r="70" spans="1:7" s="98" customFormat="1" ht="15">
      <c r="A70" s="36"/>
      <c r="B70" s="138">
        <v>3699</v>
      </c>
      <c r="C70" s="164" t="s">
        <v>428</v>
      </c>
      <c r="D70" s="20">
        <v>50</v>
      </c>
      <c r="E70" s="20">
        <v>130</v>
      </c>
      <c r="F70" s="20">
        <v>71.6</v>
      </c>
      <c r="G70" s="258">
        <f t="shared" si="1"/>
        <v>55.076923076923066</v>
      </c>
    </row>
    <row r="71" spans="1:7" s="98" customFormat="1" ht="15">
      <c r="A71" s="36"/>
      <c r="B71" s="138">
        <v>3722</v>
      </c>
      <c r="C71" s="164" t="s">
        <v>427</v>
      </c>
      <c r="D71" s="22">
        <v>21050</v>
      </c>
      <c r="E71" s="22">
        <v>21050</v>
      </c>
      <c r="F71" s="22">
        <v>10106.9</v>
      </c>
      <c r="G71" s="258">
        <f t="shared" si="1"/>
        <v>48.01377672209026</v>
      </c>
    </row>
    <row r="72" spans="1:7" s="103" customFormat="1" ht="15.75">
      <c r="A72" s="36"/>
      <c r="B72" s="138">
        <v>3726</v>
      </c>
      <c r="C72" s="72" t="s">
        <v>426</v>
      </c>
      <c r="D72" s="71">
        <v>0</v>
      </c>
      <c r="E72" s="71">
        <f>2008.5-1989.5</f>
        <v>19</v>
      </c>
      <c r="F72" s="71">
        <f>0</f>
        <v>0</v>
      </c>
      <c r="G72" s="258">
        <f t="shared" si="1"/>
        <v>0</v>
      </c>
    </row>
    <row r="73" spans="1:7" s="103" customFormat="1" ht="15.75">
      <c r="A73" s="36"/>
      <c r="B73" s="138">
        <v>3733</v>
      </c>
      <c r="C73" s="72" t="s">
        <v>425</v>
      </c>
      <c r="D73" s="71">
        <v>0</v>
      </c>
      <c r="E73" s="71">
        <v>30.8</v>
      </c>
      <c r="F73" s="71">
        <v>30.8</v>
      </c>
      <c r="G73" s="258">
        <f t="shared" si="1"/>
        <v>100</v>
      </c>
    </row>
    <row r="74" spans="1:7" s="103" customFormat="1" ht="15.75">
      <c r="A74" s="36"/>
      <c r="B74" s="138">
        <v>3745</v>
      </c>
      <c r="C74" s="72" t="s">
        <v>424</v>
      </c>
      <c r="D74" s="71">
        <v>19109</v>
      </c>
      <c r="E74" s="71">
        <v>30948.2</v>
      </c>
      <c r="F74" s="71">
        <v>8753.9</v>
      </c>
      <c r="G74" s="258">
        <f t="shared" si="1"/>
        <v>28.285651508003696</v>
      </c>
    </row>
    <row r="75" spans="1:7" s="103" customFormat="1" ht="15.75">
      <c r="A75" s="36"/>
      <c r="B75" s="138">
        <v>4349</v>
      </c>
      <c r="C75" s="72" t="s">
        <v>423</v>
      </c>
      <c r="D75" s="20">
        <v>0</v>
      </c>
      <c r="E75" s="20">
        <f>1698.8-367.5-116.9-497</f>
        <v>717.3999999999999</v>
      </c>
      <c r="F75" s="20">
        <f>656.2-367.4-116.9-4</f>
        <v>167.90000000000006</v>
      </c>
      <c r="G75" s="258">
        <f t="shared" si="1"/>
        <v>23.403958739894076</v>
      </c>
    </row>
    <row r="76" spans="1:7" s="103" customFormat="1" ht="15.75">
      <c r="A76" s="40"/>
      <c r="B76" s="138">
        <v>4357</v>
      </c>
      <c r="C76" s="164" t="s">
        <v>422</v>
      </c>
      <c r="D76" s="20">
        <f>500-500</f>
        <v>0</v>
      </c>
      <c r="E76" s="20">
        <f>1461.7-1428.5</f>
        <v>33.200000000000045</v>
      </c>
      <c r="F76" s="71">
        <f>475.3-475.3</f>
        <v>0</v>
      </c>
      <c r="G76" s="258">
        <f t="shared" si="1"/>
        <v>0</v>
      </c>
    </row>
    <row r="77" spans="1:7" s="98" customFormat="1" ht="15" hidden="1">
      <c r="A77" s="40"/>
      <c r="B77" s="138">
        <v>5212</v>
      </c>
      <c r="C77" s="164" t="s">
        <v>421</v>
      </c>
      <c r="D77" s="20"/>
      <c r="E77" s="20"/>
      <c r="F77" s="71"/>
      <c r="G77" s="258" t="e">
        <f t="shared" si="1"/>
        <v>#DIV/0!</v>
      </c>
    </row>
    <row r="78" spans="1:7" s="98" customFormat="1" ht="15" hidden="1">
      <c r="A78" s="40"/>
      <c r="B78" s="138">
        <v>6223</v>
      </c>
      <c r="C78" s="164" t="s">
        <v>420</v>
      </c>
      <c r="D78" s="20"/>
      <c r="E78" s="20"/>
      <c r="F78" s="20"/>
      <c r="G78" s="258" t="e">
        <f t="shared" si="1"/>
        <v>#DIV/0!</v>
      </c>
    </row>
    <row r="79" spans="1:7" s="98" customFormat="1" ht="15">
      <c r="A79" s="40"/>
      <c r="B79" s="138">
        <v>6171</v>
      </c>
      <c r="C79" s="164" t="s">
        <v>419</v>
      </c>
      <c r="D79" s="20">
        <f>2700-2700</f>
        <v>0</v>
      </c>
      <c r="E79" s="20">
        <f>2293.1-2236.9</f>
        <v>56.19999999999982</v>
      </c>
      <c r="F79" s="20">
        <f>2259.9-2236.9</f>
        <v>23</v>
      </c>
      <c r="G79" s="258">
        <f t="shared" si="1"/>
        <v>40.925266903914725</v>
      </c>
    </row>
    <row r="80" spans="1:7" s="98" customFormat="1" ht="15">
      <c r="A80" s="40">
        <v>6409</v>
      </c>
      <c r="B80" s="138">
        <v>6409</v>
      </c>
      <c r="C80" s="164" t="s">
        <v>418</v>
      </c>
      <c r="D80" s="20">
        <v>2400</v>
      </c>
      <c r="E80" s="20">
        <v>1000.9</v>
      </c>
      <c r="F80" s="20">
        <v>0</v>
      </c>
      <c r="G80" s="258">
        <f t="shared" si="1"/>
        <v>0</v>
      </c>
    </row>
    <row r="81" spans="1:7" s="103" customFormat="1" ht="15.75">
      <c r="A81" s="36"/>
      <c r="B81" s="138">
        <v>3315</v>
      </c>
      <c r="C81" s="72" t="s">
        <v>417</v>
      </c>
      <c r="D81" s="71">
        <v>0</v>
      </c>
      <c r="E81" s="71">
        <v>295</v>
      </c>
      <c r="F81" s="71">
        <v>0</v>
      </c>
      <c r="G81" s="258">
        <f t="shared" si="1"/>
        <v>0</v>
      </c>
    </row>
    <row r="82" spans="1:7" s="103" customFormat="1" ht="15.75">
      <c r="A82" s="127"/>
      <c r="B82" s="140"/>
      <c r="C82" s="163" t="s">
        <v>416</v>
      </c>
      <c r="D82" s="162">
        <f>SUM(D47:D81)</f>
        <v>71526</v>
      </c>
      <c r="E82" s="162">
        <f>SUM(E47:E81)</f>
        <v>89980.19999999998</v>
      </c>
      <c r="F82" s="162">
        <f>SUM(F47:F81)</f>
        <v>34984.6</v>
      </c>
      <c r="G82" s="258">
        <f t="shared" si="1"/>
        <v>38.880331450696936</v>
      </c>
    </row>
    <row r="83" spans="1:7" s="103" customFormat="1" ht="14.25" customHeight="1">
      <c r="A83" s="36"/>
      <c r="B83" s="138"/>
      <c r="C83" s="72"/>
      <c r="D83" s="161"/>
      <c r="E83" s="161"/>
      <c r="F83" s="161"/>
      <c r="G83" s="258"/>
    </row>
    <row r="84" spans="1:7" s="103" customFormat="1" ht="15.75">
      <c r="A84" s="36">
        <v>1028000000</v>
      </c>
      <c r="B84" s="138">
        <v>2212</v>
      </c>
      <c r="C84" s="145" t="s">
        <v>415</v>
      </c>
      <c r="D84" s="71">
        <v>6500</v>
      </c>
      <c r="E84" s="71">
        <v>6270.2</v>
      </c>
      <c r="F84" s="71">
        <v>65.3</v>
      </c>
      <c r="G84" s="258">
        <f t="shared" si="1"/>
        <v>1.04143408503716</v>
      </c>
    </row>
    <row r="85" spans="1:7" s="103" customFormat="1" ht="15.75">
      <c r="A85" s="36">
        <v>1042000000</v>
      </c>
      <c r="B85" s="138">
        <v>2212</v>
      </c>
      <c r="C85" s="72" t="s">
        <v>414</v>
      </c>
      <c r="D85" s="71">
        <v>5767</v>
      </c>
      <c r="E85" s="71">
        <v>3203.4</v>
      </c>
      <c r="F85" s="71">
        <v>50.4</v>
      </c>
      <c r="G85" s="258">
        <f t="shared" si="1"/>
        <v>1.5733283386401946</v>
      </c>
    </row>
    <row r="86" spans="1:7" s="103" customFormat="1" ht="15.75" hidden="1">
      <c r="A86" s="36"/>
      <c r="B86" s="138"/>
      <c r="C86" s="145"/>
      <c r="D86" s="71"/>
      <c r="E86" s="71"/>
      <c r="F86" s="71"/>
      <c r="G86" s="258" t="e">
        <f t="shared" si="1"/>
        <v>#DIV/0!</v>
      </c>
    </row>
    <row r="87" spans="1:7" s="103" customFormat="1" ht="15.75" hidden="1">
      <c r="A87" s="36"/>
      <c r="B87" s="138"/>
      <c r="C87" s="72"/>
      <c r="D87" s="71"/>
      <c r="E87" s="71"/>
      <c r="F87" s="71"/>
      <c r="G87" s="258" t="e">
        <f t="shared" si="1"/>
        <v>#DIV/0!</v>
      </c>
    </row>
    <row r="88" spans="1:7" s="103" customFormat="1" ht="15.75" hidden="1">
      <c r="A88" s="36"/>
      <c r="B88" s="138"/>
      <c r="C88" s="72"/>
      <c r="D88" s="71"/>
      <c r="E88" s="71"/>
      <c r="F88" s="71"/>
      <c r="G88" s="258" t="e">
        <f t="shared" si="1"/>
        <v>#DIV/0!</v>
      </c>
    </row>
    <row r="89" spans="1:7" s="103" customFormat="1" ht="15.75" hidden="1">
      <c r="A89" s="36"/>
      <c r="B89" s="138"/>
      <c r="C89" s="72"/>
      <c r="D89" s="71"/>
      <c r="E89" s="71"/>
      <c r="F89" s="71"/>
      <c r="G89" s="258" t="e">
        <f t="shared" si="1"/>
        <v>#DIV/0!</v>
      </c>
    </row>
    <row r="90" spans="1:7" s="103" customFormat="1" ht="15.75" hidden="1">
      <c r="A90" s="36"/>
      <c r="B90" s="138"/>
      <c r="C90" s="72"/>
      <c r="D90" s="71"/>
      <c r="E90" s="71"/>
      <c r="F90" s="71"/>
      <c r="G90" s="258" t="e">
        <f t="shared" si="1"/>
        <v>#DIV/0!</v>
      </c>
    </row>
    <row r="91" spans="1:7" s="103" customFormat="1" ht="15.75" customHeight="1" hidden="1">
      <c r="A91" s="36"/>
      <c r="B91" s="138"/>
      <c r="C91" s="160"/>
      <c r="D91" s="71"/>
      <c r="E91" s="71"/>
      <c r="F91" s="71"/>
      <c r="G91" s="258" t="e">
        <f t="shared" si="1"/>
        <v>#DIV/0!</v>
      </c>
    </row>
    <row r="92" spans="1:7" s="103" customFormat="1" ht="15.75">
      <c r="A92" s="36">
        <v>1059000000</v>
      </c>
      <c r="B92" s="138">
        <v>2212</v>
      </c>
      <c r="C92" s="72" t="s">
        <v>413</v>
      </c>
      <c r="D92" s="71">
        <v>0</v>
      </c>
      <c r="E92" s="71">
        <v>3000</v>
      </c>
      <c r="F92" s="71">
        <v>0</v>
      </c>
      <c r="G92" s="258">
        <f t="shared" si="1"/>
        <v>0</v>
      </c>
    </row>
    <row r="93" spans="1:7" s="103" customFormat="1" ht="15.75">
      <c r="A93" s="36">
        <v>1064000000</v>
      </c>
      <c r="B93" s="138">
        <v>2212</v>
      </c>
      <c r="C93" s="72" t="s">
        <v>412</v>
      </c>
      <c r="D93" s="71">
        <v>0</v>
      </c>
      <c r="E93" s="71">
        <v>3388</v>
      </c>
      <c r="F93" s="71">
        <v>5</v>
      </c>
      <c r="G93" s="258">
        <f t="shared" si="1"/>
        <v>0.14757969303423848</v>
      </c>
    </row>
    <row r="94" spans="1:7" s="103" customFormat="1" ht="15.75">
      <c r="A94" s="36">
        <v>1006010023</v>
      </c>
      <c r="B94" s="138">
        <v>2219</v>
      </c>
      <c r="C94" s="72" t="s">
        <v>411</v>
      </c>
      <c r="D94" s="71">
        <v>0</v>
      </c>
      <c r="E94" s="71">
        <v>7349</v>
      </c>
      <c r="F94" s="71">
        <v>56.6</v>
      </c>
      <c r="G94" s="258">
        <f t="shared" si="1"/>
        <v>0.7701728126275684</v>
      </c>
    </row>
    <row r="95" spans="1:7" s="103" customFormat="1" ht="15.75">
      <c r="A95" s="36">
        <v>1026000000</v>
      </c>
      <c r="B95" s="138">
        <v>2219</v>
      </c>
      <c r="C95" s="72" t="s">
        <v>410</v>
      </c>
      <c r="D95" s="71">
        <v>0</v>
      </c>
      <c r="E95" s="71">
        <v>523</v>
      </c>
      <c r="F95" s="71">
        <v>518.5</v>
      </c>
      <c r="G95" s="258">
        <f t="shared" si="1"/>
        <v>99.1395793499044</v>
      </c>
    </row>
    <row r="96" spans="1:7" s="103" customFormat="1" ht="15.75" customHeight="1">
      <c r="A96" s="36">
        <v>1033000000</v>
      </c>
      <c r="B96" s="138">
        <v>2219</v>
      </c>
      <c r="C96" s="160" t="s">
        <v>409</v>
      </c>
      <c r="D96" s="71">
        <v>0</v>
      </c>
      <c r="E96" s="71">
        <v>154.1</v>
      </c>
      <c r="F96" s="71">
        <v>154.1</v>
      </c>
      <c r="G96" s="258">
        <f t="shared" si="1"/>
        <v>100</v>
      </c>
    </row>
    <row r="97" spans="1:7" s="103" customFormat="1" ht="15.75" customHeight="1">
      <c r="A97" s="36">
        <v>1037000000</v>
      </c>
      <c r="B97" s="138">
        <v>2219</v>
      </c>
      <c r="C97" s="160" t="s">
        <v>408</v>
      </c>
      <c r="D97" s="71">
        <v>992</v>
      </c>
      <c r="E97" s="71">
        <v>1430</v>
      </c>
      <c r="F97" s="71">
        <v>321.6</v>
      </c>
      <c r="G97" s="258">
        <f t="shared" si="1"/>
        <v>22.489510489510494</v>
      </c>
    </row>
    <row r="98" spans="1:7" s="103" customFormat="1" ht="15.75" customHeight="1">
      <c r="A98" s="36">
        <v>1043000000</v>
      </c>
      <c r="B98" s="138">
        <v>2219</v>
      </c>
      <c r="C98" s="160" t="s">
        <v>407</v>
      </c>
      <c r="D98" s="71">
        <v>1036</v>
      </c>
      <c r="E98" s="71">
        <v>1036</v>
      </c>
      <c r="F98" s="71">
        <v>0</v>
      </c>
      <c r="G98" s="258">
        <f t="shared" si="1"/>
        <v>0</v>
      </c>
    </row>
    <row r="99" spans="1:7" s="103" customFormat="1" ht="15.75">
      <c r="A99" s="36">
        <v>1044000000</v>
      </c>
      <c r="B99" s="138">
        <v>2219</v>
      </c>
      <c r="C99" s="72" t="s">
        <v>406</v>
      </c>
      <c r="D99" s="71">
        <v>3000</v>
      </c>
      <c r="E99" s="71">
        <v>3000</v>
      </c>
      <c r="F99" s="71">
        <v>0</v>
      </c>
      <c r="G99" s="258">
        <f t="shared" si="1"/>
        <v>0</v>
      </c>
    </row>
    <row r="100" spans="1:7" s="103" customFormat="1" ht="15.75">
      <c r="A100" s="36">
        <v>1051000000</v>
      </c>
      <c r="B100" s="138">
        <v>2219</v>
      </c>
      <c r="C100" s="72" t="s">
        <v>405</v>
      </c>
      <c r="D100" s="71">
        <v>2000</v>
      </c>
      <c r="E100" s="71">
        <v>2000</v>
      </c>
      <c r="F100" s="71">
        <v>48</v>
      </c>
      <c r="G100" s="258">
        <f t="shared" si="1"/>
        <v>2.4</v>
      </c>
    </row>
    <row r="101" spans="1:7" s="103" customFormat="1" ht="15.75" customHeight="1">
      <c r="A101" s="36">
        <v>1052000000</v>
      </c>
      <c r="B101" s="138">
        <v>2219</v>
      </c>
      <c r="C101" s="160" t="s">
        <v>404</v>
      </c>
      <c r="D101" s="71">
        <v>811</v>
      </c>
      <c r="E101" s="71">
        <v>811</v>
      </c>
      <c r="F101" s="71">
        <v>0</v>
      </c>
      <c r="G101" s="258">
        <f t="shared" si="1"/>
        <v>0</v>
      </c>
    </row>
    <row r="102" spans="1:7" s="103" customFormat="1" ht="15.75">
      <c r="A102" s="36">
        <v>1054000000</v>
      </c>
      <c r="B102" s="138">
        <v>2219</v>
      </c>
      <c r="C102" s="72" t="s">
        <v>403</v>
      </c>
      <c r="D102" s="71">
        <v>0</v>
      </c>
      <c r="E102" s="71">
        <v>3353</v>
      </c>
      <c r="F102" s="71">
        <v>25.1</v>
      </c>
      <c r="G102" s="258">
        <f t="shared" si="1"/>
        <v>0.7485833581866985</v>
      </c>
    </row>
    <row r="103" spans="1:7" s="103" customFormat="1" ht="15.75">
      <c r="A103" s="36">
        <v>1058000000</v>
      </c>
      <c r="B103" s="138">
        <v>2219</v>
      </c>
      <c r="C103" s="72" t="s">
        <v>402</v>
      </c>
      <c r="D103" s="71">
        <v>0</v>
      </c>
      <c r="E103" s="71">
        <v>853</v>
      </c>
      <c r="F103" s="71">
        <v>0</v>
      </c>
      <c r="G103" s="258">
        <f t="shared" si="1"/>
        <v>0</v>
      </c>
    </row>
    <row r="104" spans="1:7" s="103" customFormat="1" ht="15.75">
      <c r="A104" s="36">
        <v>1061000000</v>
      </c>
      <c r="B104" s="138">
        <v>2219</v>
      </c>
      <c r="C104" s="72" t="s">
        <v>401</v>
      </c>
      <c r="D104" s="71">
        <v>0</v>
      </c>
      <c r="E104" s="71">
        <v>5500</v>
      </c>
      <c r="F104" s="71">
        <v>23.7</v>
      </c>
      <c r="G104" s="258">
        <f t="shared" si="1"/>
        <v>0.4309090909090909</v>
      </c>
    </row>
    <row r="105" spans="1:7" s="103" customFormat="1" ht="15.75">
      <c r="A105" s="36">
        <v>1045000000</v>
      </c>
      <c r="B105" s="138">
        <v>2219</v>
      </c>
      <c r="C105" s="72" t="s">
        <v>400</v>
      </c>
      <c r="D105" s="71">
        <v>2500</v>
      </c>
      <c r="E105" s="71">
        <v>2500</v>
      </c>
      <c r="F105" s="71">
        <v>0</v>
      </c>
      <c r="G105" s="258">
        <f t="shared" si="1"/>
        <v>0</v>
      </c>
    </row>
    <row r="106" spans="1:7" s="103" customFormat="1" ht="15.75">
      <c r="A106" s="21">
        <v>1003071007</v>
      </c>
      <c r="B106" s="159">
        <v>2221</v>
      </c>
      <c r="C106" s="55" t="s">
        <v>399</v>
      </c>
      <c r="D106" s="71">
        <v>41700</v>
      </c>
      <c r="E106" s="71">
        <f>53.8+26695.4</f>
        <v>26749.2</v>
      </c>
      <c r="F106" s="71">
        <f>0+378.8</f>
        <v>378.8</v>
      </c>
      <c r="G106" s="258">
        <f t="shared" si="1"/>
        <v>1.4161171175212717</v>
      </c>
    </row>
    <row r="107" spans="1:7" s="103" customFormat="1" ht="15.75">
      <c r="A107" s="36">
        <v>1039000000</v>
      </c>
      <c r="B107" s="138">
        <v>2221</v>
      </c>
      <c r="C107" s="72" t="s">
        <v>398</v>
      </c>
      <c r="D107" s="71">
        <v>23650</v>
      </c>
      <c r="E107" s="71">
        <f>148.2+23.7+16707</f>
        <v>16878.9</v>
      </c>
      <c r="F107" s="71">
        <f>104.4+23.7+69.7</f>
        <v>197.8</v>
      </c>
      <c r="G107" s="258">
        <f t="shared" si="1"/>
        <v>1.171877314279959</v>
      </c>
    </row>
    <row r="108" spans="1:7" s="103" customFormat="1" ht="15.75">
      <c r="A108" s="36">
        <v>1036000000</v>
      </c>
      <c r="B108" s="138">
        <v>2331</v>
      </c>
      <c r="C108" s="72" t="s">
        <v>397</v>
      </c>
      <c r="D108" s="71">
        <v>727</v>
      </c>
      <c r="E108" s="71">
        <v>727</v>
      </c>
      <c r="F108" s="71">
        <v>36.3</v>
      </c>
      <c r="G108" s="258">
        <f t="shared" si="1"/>
        <v>4.993122420907841</v>
      </c>
    </row>
    <row r="109" spans="1:7" s="103" customFormat="1" ht="15.75">
      <c r="A109" s="36">
        <v>1046000000</v>
      </c>
      <c r="B109" s="138">
        <v>3111</v>
      </c>
      <c r="C109" s="72" t="s">
        <v>396</v>
      </c>
      <c r="D109" s="71">
        <v>1831</v>
      </c>
      <c r="E109" s="71">
        <v>1831</v>
      </c>
      <c r="F109" s="71">
        <v>73.8</v>
      </c>
      <c r="G109" s="258">
        <f t="shared" si="1"/>
        <v>4.030584380120153</v>
      </c>
    </row>
    <row r="110" spans="1:7" s="103" customFormat="1" ht="15.75">
      <c r="A110" s="36">
        <v>1047000000</v>
      </c>
      <c r="B110" s="138">
        <v>3111</v>
      </c>
      <c r="C110" s="72" t="s">
        <v>395</v>
      </c>
      <c r="D110" s="71">
        <v>8490</v>
      </c>
      <c r="E110" s="71">
        <v>8490</v>
      </c>
      <c r="F110" s="71">
        <v>96.5</v>
      </c>
      <c r="G110" s="258">
        <f t="shared" si="1"/>
        <v>1.1366313309776208</v>
      </c>
    </row>
    <row r="111" spans="1:7" s="103" customFormat="1" ht="15.75">
      <c r="A111" s="36">
        <v>1056000000</v>
      </c>
      <c r="B111" s="138">
        <v>3111</v>
      </c>
      <c r="C111" s="72" t="s">
        <v>394</v>
      </c>
      <c r="D111" s="71">
        <v>0</v>
      </c>
      <c r="E111" s="71">
        <v>4119</v>
      </c>
      <c r="F111" s="71">
        <v>0</v>
      </c>
      <c r="G111" s="258">
        <f aca="true" t="shared" si="2" ref="G111:G128">(F111/E111)*100</f>
        <v>0</v>
      </c>
    </row>
    <row r="112" spans="1:7" s="103" customFormat="1" ht="15.75">
      <c r="A112" s="36">
        <v>1057000000</v>
      </c>
      <c r="B112" s="138">
        <v>3111</v>
      </c>
      <c r="C112" s="72" t="s">
        <v>393</v>
      </c>
      <c r="D112" s="71">
        <v>0</v>
      </c>
      <c r="E112" s="71">
        <v>1500</v>
      </c>
      <c r="F112" s="71">
        <v>0</v>
      </c>
      <c r="G112" s="258">
        <f t="shared" si="2"/>
        <v>0</v>
      </c>
    </row>
    <row r="113" spans="1:7" s="103" customFormat="1" ht="15.75">
      <c r="A113" s="36">
        <v>1048000000</v>
      </c>
      <c r="B113" s="138">
        <v>3113</v>
      </c>
      <c r="C113" s="72" t="s">
        <v>392</v>
      </c>
      <c r="D113" s="71">
        <v>11824</v>
      </c>
      <c r="E113" s="71">
        <v>11824</v>
      </c>
      <c r="F113" s="25">
        <v>114.1</v>
      </c>
      <c r="G113" s="258">
        <f t="shared" si="2"/>
        <v>0.9649864682002706</v>
      </c>
    </row>
    <row r="114" spans="1:7" s="103" customFormat="1" ht="15.75">
      <c r="A114" s="36">
        <v>1055000000</v>
      </c>
      <c r="B114" s="138">
        <v>3113</v>
      </c>
      <c r="C114" s="72" t="s">
        <v>391</v>
      </c>
      <c r="D114" s="71">
        <v>0</v>
      </c>
      <c r="E114" s="71">
        <v>3876</v>
      </c>
      <c r="F114" s="71">
        <v>0</v>
      </c>
      <c r="G114" s="258">
        <f t="shared" si="2"/>
        <v>0</v>
      </c>
    </row>
    <row r="115" spans="1:7" s="103" customFormat="1" ht="15.75">
      <c r="A115" s="21">
        <v>1017000000</v>
      </c>
      <c r="B115" s="159">
        <v>3313</v>
      </c>
      <c r="C115" s="55" t="s">
        <v>390</v>
      </c>
      <c r="D115" s="71">
        <v>400</v>
      </c>
      <c r="E115" s="71">
        <v>400</v>
      </c>
      <c r="F115" s="25">
        <v>0</v>
      </c>
      <c r="G115" s="258">
        <f t="shared" si="2"/>
        <v>0</v>
      </c>
    </row>
    <row r="116" spans="1:7" s="103" customFormat="1" ht="15.75">
      <c r="A116" s="36">
        <v>1063000000</v>
      </c>
      <c r="B116" s="138">
        <v>3421</v>
      </c>
      <c r="C116" s="72" t="s">
        <v>389</v>
      </c>
      <c r="D116" s="71">
        <v>0</v>
      </c>
      <c r="E116" s="71">
        <v>319.9</v>
      </c>
      <c r="F116" s="71">
        <v>0</v>
      </c>
      <c r="G116" s="258">
        <f t="shared" si="2"/>
        <v>0</v>
      </c>
    </row>
    <row r="117" spans="1:7" s="103" customFormat="1" ht="15.75">
      <c r="A117" s="36">
        <v>1049000000</v>
      </c>
      <c r="B117" s="138">
        <v>3632</v>
      </c>
      <c r="C117" s="72" t="s">
        <v>388</v>
      </c>
      <c r="D117" s="71">
        <v>600</v>
      </c>
      <c r="E117" s="71">
        <v>600</v>
      </c>
      <c r="F117" s="71">
        <v>0</v>
      </c>
      <c r="G117" s="258">
        <f t="shared" si="2"/>
        <v>0</v>
      </c>
    </row>
    <row r="118" spans="1:7" s="103" customFormat="1" ht="15.75">
      <c r="A118" s="36">
        <v>1016092001</v>
      </c>
      <c r="B118" s="138">
        <v>3635</v>
      </c>
      <c r="C118" s="72" t="s">
        <v>387</v>
      </c>
      <c r="D118" s="71">
        <v>1405</v>
      </c>
      <c r="E118" s="71">
        <v>1405</v>
      </c>
      <c r="F118" s="71">
        <v>0</v>
      </c>
      <c r="G118" s="258">
        <f t="shared" si="2"/>
        <v>0</v>
      </c>
    </row>
    <row r="119" spans="1:7" s="103" customFormat="1" ht="15.75">
      <c r="A119" s="36">
        <v>1060000000</v>
      </c>
      <c r="B119" s="138">
        <v>3726</v>
      </c>
      <c r="C119" s="72" t="s">
        <v>386</v>
      </c>
      <c r="D119" s="71">
        <v>0</v>
      </c>
      <c r="E119" s="71">
        <v>1989.5</v>
      </c>
      <c r="F119" s="71">
        <v>0</v>
      </c>
      <c r="G119" s="258">
        <f t="shared" si="2"/>
        <v>0</v>
      </c>
    </row>
    <row r="120" spans="1:7" s="103" customFormat="1" ht="15.75">
      <c r="A120" s="36">
        <v>1040000000</v>
      </c>
      <c r="B120" s="138">
        <v>4349</v>
      </c>
      <c r="C120" s="72" t="s">
        <v>385</v>
      </c>
      <c r="D120" s="71">
        <v>0</v>
      </c>
      <c r="E120" s="71">
        <v>116.9</v>
      </c>
      <c r="F120" s="25">
        <v>116.9</v>
      </c>
      <c r="G120" s="258">
        <f t="shared" si="2"/>
        <v>100</v>
      </c>
    </row>
    <row r="121" spans="1:7" s="103" customFormat="1" ht="15.75">
      <c r="A121" s="36">
        <v>1041000000</v>
      </c>
      <c r="B121" s="138">
        <v>4349</v>
      </c>
      <c r="C121" s="72" t="s">
        <v>384</v>
      </c>
      <c r="D121" s="71">
        <v>0</v>
      </c>
      <c r="E121" s="71">
        <v>367.5</v>
      </c>
      <c r="F121" s="25">
        <v>367.4</v>
      </c>
      <c r="G121" s="258">
        <f t="shared" si="2"/>
        <v>99.97278911564625</v>
      </c>
    </row>
    <row r="122" spans="1:7" s="103" customFormat="1" ht="15.75">
      <c r="A122" s="36">
        <v>1053000000</v>
      </c>
      <c r="B122" s="138">
        <v>4349</v>
      </c>
      <c r="C122" s="72" t="s">
        <v>383</v>
      </c>
      <c r="D122" s="71">
        <v>0</v>
      </c>
      <c r="E122" s="71">
        <v>497</v>
      </c>
      <c r="F122" s="71">
        <v>4</v>
      </c>
      <c r="G122" s="258">
        <f t="shared" si="2"/>
        <v>0.8048289738430584</v>
      </c>
    </row>
    <row r="123" spans="1:7" s="103" customFormat="1" ht="15.75">
      <c r="A123" s="36">
        <v>1001081012</v>
      </c>
      <c r="B123" s="138">
        <v>4357</v>
      </c>
      <c r="C123" s="72" t="s">
        <v>382</v>
      </c>
      <c r="D123" s="71">
        <v>500</v>
      </c>
      <c r="E123" s="71">
        <v>500</v>
      </c>
      <c r="F123" s="71">
        <v>475.3</v>
      </c>
      <c r="G123" s="258">
        <f t="shared" si="2"/>
        <v>95.06</v>
      </c>
    </row>
    <row r="124" spans="1:7" s="103" customFormat="1" ht="15.75">
      <c r="A124" s="36">
        <v>1065000000</v>
      </c>
      <c r="B124" s="138">
        <v>4357</v>
      </c>
      <c r="C124" s="72" t="s">
        <v>381</v>
      </c>
      <c r="D124" s="71">
        <v>0</v>
      </c>
      <c r="E124" s="71">
        <v>928.5</v>
      </c>
      <c r="F124" s="71">
        <v>0</v>
      </c>
      <c r="G124" s="258">
        <f t="shared" si="2"/>
        <v>0</v>
      </c>
    </row>
    <row r="125" spans="1:7" s="103" customFormat="1" ht="15.75">
      <c r="A125" s="36">
        <v>1008010025</v>
      </c>
      <c r="B125" s="138">
        <v>4374</v>
      </c>
      <c r="C125" s="72" t="s">
        <v>380</v>
      </c>
      <c r="D125" s="71">
        <v>500</v>
      </c>
      <c r="E125" s="71">
        <v>500</v>
      </c>
      <c r="F125" s="71">
        <v>0</v>
      </c>
      <c r="G125" s="258">
        <f t="shared" si="2"/>
        <v>0</v>
      </c>
    </row>
    <row r="126" spans="1:7" s="103" customFormat="1" ht="15.75">
      <c r="A126" s="36">
        <v>1050000000</v>
      </c>
      <c r="B126" s="138">
        <v>6171</v>
      </c>
      <c r="C126" s="72" t="s">
        <v>379</v>
      </c>
      <c r="D126" s="71">
        <v>2700</v>
      </c>
      <c r="E126" s="71">
        <v>2236.9</v>
      </c>
      <c r="F126" s="71">
        <v>2236.9</v>
      </c>
      <c r="G126" s="258">
        <f t="shared" si="2"/>
        <v>100</v>
      </c>
    </row>
    <row r="127" spans="1:7" s="103" customFormat="1" ht="15.75">
      <c r="A127" s="36"/>
      <c r="B127" s="138"/>
      <c r="C127" s="72"/>
      <c r="D127" s="71"/>
      <c r="E127" s="71"/>
      <c r="F127" s="71"/>
      <c r="G127" s="258"/>
    </row>
    <row r="128" spans="1:7" s="156" customFormat="1" ht="16.5" customHeight="1">
      <c r="A128" s="54"/>
      <c r="B128" s="158"/>
      <c r="C128" s="53" t="s">
        <v>378</v>
      </c>
      <c r="D128" s="157">
        <f>SUM(D84:D127)</f>
        <v>116933</v>
      </c>
      <c r="E128" s="157">
        <f>SUM(E84:E127)</f>
        <v>130226.99999999997</v>
      </c>
      <c r="F128" s="157">
        <f>SUM(F84:F127)</f>
        <v>5366.1</v>
      </c>
      <c r="G128" s="258">
        <f t="shared" si="2"/>
        <v>4.120574074500681</v>
      </c>
    </row>
    <row r="129" spans="1:7" s="156" customFormat="1" ht="16.5" customHeight="1" hidden="1">
      <c r="A129" s="54"/>
      <c r="B129" s="158"/>
      <c r="C129" s="53" t="s">
        <v>377</v>
      </c>
      <c r="D129" s="157" t="e">
        <f>SUM(#REF!+#REF!+#REF!+#REF!)</f>
        <v>#REF!</v>
      </c>
      <c r="E129" s="157" t="e">
        <f>SUM(#REF!+92+#REF!+#REF!)</f>
        <v>#REF!</v>
      </c>
      <c r="F129" s="157" t="e">
        <f>SUM(#REF!+#REF!+#REF!+#REF!)</f>
        <v>#REF!</v>
      </c>
      <c r="G129" s="258" t="e">
        <f>(#REF!/E129)*100</f>
        <v>#REF!</v>
      </c>
    </row>
    <row r="130" spans="1:7" s="103" customFormat="1" ht="15.75" customHeight="1" thickBot="1">
      <c r="A130" s="36"/>
      <c r="B130" s="138"/>
      <c r="C130" s="72"/>
      <c r="D130" s="71"/>
      <c r="E130" s="71"/>
      <c r="F130" s="71"/>
      <c r="G130" s="258"/>
    </row>
    <row r="131" spans="1:7" s="103" customFormat="1" ht="12.75" customHeight="1" hidden="1" thickBot="1">
      <c r="A131" s="155"/>
      <c r="B131" s="154"/>
      <c r="C131" s="153"/>
      <c r="D131" s="152"/>
      <c r="E131" s="152"/>
      <c r="F131" s="152"/>
      <c r="G131" s="263"/>
    </row>
    <row r="132" spans="1:7" s="98" customFormat="1" ht="18.75" customHeight="1" thickBot="1" thickTop="1">
      <c r="A132" s="115"/>
      <c r="B132" s="144"/>
      <c r="C132" s="151" t="s">
        <v>376</v>
      </c>
      <c r="D132" s="112">
        <f>SUM(D82,D128)</f>
        <v>188459</v>
      </c>
      <c r="E132" s="112">
        <f>SUM(E82,E128)</f>
        <v>220207.19999999995</v>
      </c>
      <c r="F132" s="112">
        <f>SUM(F82,F128)</f>
        <v>40350.7</v>
      </c>
      <c r="G132" s="260">
        <f>(F132/E132)*100</f>
        <v>18.323969425159582</v>
      </c>
    </row>
    <row r="133" spans="1:7" s="103" customFormat="1" ht="16.5" customHeight="1">
      <c r="A133" s="111"/>
      <c r="B133" s="150"/>
      <c r="C133" s="111"/>
      <c r="D133" s="110"/>
      <c r="E133" s="149"/>
      <c r="F133" s="131"/>
      <c r="G133" s="251"/>
    </row>
    <row r="134" spans="1:7" s="98" customFormat="1" ht="12.75" customHeight="1" hidden="1">
      <c r="A134" s="97"/>
      <c r="B134" s="100"/>
      <c r="C134" s="111"/>
      <c r="D134" s="110"/>
      <c r="E134" s="110"/>
      <c r="F134" s="110"/>
      <c r="G134" s="261"/>
    </row>
    <row r="135" spans="1:7" s="98" customFormat="1" ht="12.75" customHeight="1" hidden="1">
      <c r="A135" s="97"/>
      <c r="B135" s="100"/>
      <c r="C135" s="111"/>
      <c r="D135" s="110"/>
      <c r="E135" s="110"/>
      <c r="F135" s="110"/>
      <c r="G135" s="261"/>
    </row>
    <row r="136" spans="1:7" s="98" customFormat="1" ht="12.75" customHeight="1" hidden="1">
      <c r="A136" s="97"/>
      <c r="B136" s="100"/>
      <c r="C136" s="111"/>
      <c r="D136" s="110"/>
      <c r="E136" s="110"/>
      <c r="F136" s="110"/>
      <c r="G136" s="261"/>
    </row>
    <row r="137" spans="1:7" s="98" customFormat="1" ht="12.75" customHeight="1" hidden="1">
      <c r="A137" s="97"/>
      <c r="B137" s="100"/>
      <c r="C137" s="111"/>
      <c r="D137" s="110"/>
      <c r="E137" s="110"/>
      <c r="F137" s="110"/>
      <c r="G137" s="261"/>
    </row>
    <row r="138" spans="1:7" s="98" customFormat="1" ht="12.75" customHeight="1" hidden="1">
      <c r="A138" s="97"/>
      <c r="B138" s="100"/>
      <c r="C138" s="111"/>
      <c r="D138" s="110"/>
      <c r="E138" s="110"/>
      <c r="F138" s="110"/>
      <c r="G138" s="261"/>
    </row>
    <row r="139" spans="1:7" s="98" customFormat="1" ht="12.75" customHeight="1" hidden="1">
      <c r="A139" s="97"/>
      <c r="B139" s="100"/>
      <c r="C139" s="111"/>
      <c r="D139" s="110"/>
      <c r="E139" s="110"/>
      <c r="F139" s="110"/>
      <c r="G139" s="261"/>
    </row>
    <row r="140" spans="1:7" s="98" customFormat="1" ht="15.75" customHeight="1" thickBot="1">
      <c r="A140" s="97"/>
      <c r="B140" s="100"/>
      <c r="C140" s="111"/>
      <c r="D140" s="110"/>
      <c r="E140" s="130"/>
      <c r="F140" s="130"/>
      <c r="G140" s="253"/>
    </row>
    <row r="141" spans="1:7" s="98" customFormat="1" ht="15.75">
      <c r="A141" s="242" t="s">
        <v>25</v>
      </c>
      <c r="B141" s="243" t="s">
        <v>26</v>
      </c>
      <c r="C141" s="242" t="s">
        <v>28</v>
      </c>
      <c r="D141" s="242" t="s">
        <v>29</v>
      </c>
      <c r="E141" s="242" t="s">
        <v>29</v>
      </c>
      <c r="F141" s="208" t="s">
        <v>7</v>
      </c>
      <c r="G141" s="255" t="s">
        <v>303</v>
      </c>
    </row>
    <row r="142" spans="1:7" s="98" customFormat="1" ht="15.75" customHeight="1" thickBot="1">
      <c r="A142" s="244"/>
      <c r="B142" s="245"/>
      <c r="C142" s="246"/>
      <c r="D142" s="247" t="s">
        <v>31</v>
      </c>
      <c r="E142" s="247" t="s">
        <v>32</v>
      </c>
      <c r="F142" s="212" t="s">
        <v>33</v>
      </c>
      <c r="G142" s="256" t="s">
        <v>302</v>
      </c>
    </row>
    <row r="143" spans="1:7" s="98" customFormat="1" ht="16.5" customHeight="1" thickTop="1">
      <c r="A143" s="122">
        <v>30</v>
      </c>
      <c r="B143" s="122"/>
      <c r="C143" s="54" t="s">
        <v>121</v>
      </c>
      <c r="D143" s="57"/>
      <c r="E143" s="57"/>
      <c r="F143" s="57"/>
      <c r="G143" s="262"/>
    </row>
    <row r="144" spans="1:7" s="98" customFormat="1" ht="16.5" customHeight="1">
      <c r="A144" s="121">
        <v>31</v>
      </c>
      <c r="B144" s="121"/>
      <c r="C144" s="54"/>
      <c r="D144" s="71"/>
      <c r="E144" s="71"/>
      <c r="F144" s="71"/>
      <c r="G144" s="258"/>
    </row>
    <row r="145" spans="1:7" s="98" customFormat="1" ht="15">
      <c r="A145" s="36"/>
      <c r="B145" s="119">
        <v>3341</v>
      </c>
      <c r="C145" s="97" t="s">
        <v>375</v>
      </c>
      <c r="D145" s="71">
        <v>30</v>
      </c>
      <c r="E145" s="71">
        <v>30</v>
      </c>
      <c r="F145" s="71">
        <v>0</v>
      </c>
      <c r="G145" s="258">
        <f aca="true" t="shared" si="3" ref="G145:G155">(F145/E145)*100</f>
        <v>0</v>
      </c>
    </row>
    <row r="146" spans="1:7" s="98" customFormat="1" ht="15.75" customHeight="1">
      <c r="A146" s="36"/>
      <c r="B146" s="119">
        <v>3349</v>
      </c>
      <c r="C146" s="72" t="s">
        <v>374</v>
      </c>
      <c r="D146" s="71">
        <v>735</v>
      </c>
      <c r="E146" s="71">
        <v>735</v>
      </c>
      <c r="F146" s="71">
        <v>382.1</v>
      </c>
      <c r="G146" s="258">
        <f t="shared" si="3"/>
        <v>51.98639455782313</v>
      </c>
    </row>
    <row r="147" spans="1:7" s="98" customFormat="1" ht="15.75" customHeight="1">
      <c r="A147" s="36"/>
      <c r="B147" s="119">
        <v>5212</v>
      </c>
      <c r="C147" s="36" t="s">
        <v>373</v>
      </c>
      <c r="D147" s="120">
        <v>20</v>
      </c>
      <c r="E147" s="120">
        <v>20</v>
      </c>
      <c r="F147" s="71">
        <v>0</v>
      </c>
      <c r="G147" s="258">
        <f t="shared" si="3"/>
        <v>0</v>
      </c>
    </row>
    <row r="148" spans="1:7" s="98" customFormat="1" ht="15.75" customHeight="1">
      <c r="A148" s="36"/>
      <c r="B148" s="119">
        <v>5279</v>
      </c>
      <c r="C148" s="36" t="s">
        <v>372</v>
      </c>
      <c r="D148" s="120">
        <v>50</v>
      </c>
      <c r="E148" s="120">
        <v>50</v>
      </c>
      <c r="F148" s="71">
        <v>0</v>
      </c>
      <c r="G148" s="258">
        <f t="shared" si="3"/>
        <v>0</v>
      </c>
    </row>
    <row r="149" spans="1:7" s="98" customFormat="1" ht="15">
      <c r="A149" s="36"/>
      <c r="B149" s="119">
        <v>5512</v>
      </c>
      <c r="C149" s="97" t="s">
        <v>371</v>
      </c>
      <c r="D149" s="71">
        <v>3838</v>
      </c>
      <c r="E149" s="71">
        <v>3838</v>
      </c>
      <c r="F149" s="71">
        <v>432</v>
      </c>
      <c r="G149" s="258">
        <f t="shared" si="3"/>
        <v>11.255862428348099</v>
      </c>
    </row>
    <row r="150" spans="1:7" s="98" customFormat="1" ht="15.75" customHeight="1">
      <c r="A150" s="36"/>
      <c r="B150" s="119">
        <v>6112</v>
      </c>
      <c r="C150" s="72" t="s">
        <v>370</v>
      </c>
      <c r="D150" s="71">
        <v>4988.3</v>
      </c>
      <c r="E150" s="71">
        <v>4988.3</v>
      </c>
      <c r="F150" s="71">
        <v>2167.4</v>
      </c>
      <c r="G150" s="258">
        <f t="shared" si="3"/>
        <v>43.449672233025275</v>
      </c>
    </row>
    <row r="151" spans="1:7" s="98" customFormat="1" ht="15.75" customHeight="1" hidden="1">
      <c r="A151" s="36"/>
      <c r="B151" s="119">
        <v>6114</v>
      </c>
      <c r="C151" s="72" t="s">
        <v>369</v>
      </c>
      <c r="D151" s="71">
        <v>0</v>
      </c>
      <c r="E151" s="71"/>
      <c r="F151" s="71"/>
      <c r="G151" s="258" t="e">
        <f t="shared" si="3"/>
        <v>#DIV/0!</v>
      </c>
    </row>
    <row r="152" spans="1:7" s="98" customFormat="1" ht="15.75" customHeight="1" hidden="1">
      <c r="A152" s="36"/>
      <c r="B152" s="119">
        <v>6115</v>
      </c>
      <c r="C152" s="72" t="s">
        <v>368</v>
      </c>
      <c r="D152" s="71">
        <v>0</v>
      </c>
      <c r="E152" s="71"/>
      <c r="F152" s="71"/>
      <c r="G152" s="258" t="e">
        <f t="shared" si="3"/>
        <v>#DIV/0!</v>
      </c>
    </row>
    <row r="153" spans="1:7" s="98" customFormat="1" ht="15.75" customHeight="1">
      <c r="A153" s="36"/>
      <c r="B153" s="119">
        <v>6118</v>
      </c>
      <c r="C153" s="72" t="s">
        <v>367</v>
      </c>
      <c r="D153" s="120">
        <v>0</v>
      </c>
      <c r="E153" s="120">
        <v>653</v>
      </c>
      <c r="F153" s="71">
        <v>469.4</v>
      </c>
      <c r="G153" s="258">
        <f t="shared" si="3"/>
        <v>71.88361408882082</v>
      </c>
    </row>
    <row r="154" spans="1:7" s="98" customFormat="1" ht="15.75" customHeight="1" hidden="1">
      <c r="A154" s="36"/>
      <c r="B154" s="119">
        <v>6149</v>
      </c>
      <c r="C154" s="72" t="s">
        <v>366</v>
      </c>
      <c r="D154" s="120">
        <v>0</v>
      </c>
      <c r="E154" s="120">
        <v>0</v>
      </c>
      <c r="F154" s="71"/>
      <c r="G154" s="258" t="e">
        <f t="shared" si="3"/>
        <v>#DIV/0!</v>
      </c>
    </row>
    <row r="155" spans="1:7" s="98" customFormat="1" ht="17.25" customHeight="1">
      <c r="A155" s="119" t="s">
        <v>365</v>
      </c>
      <c r="B155" s="119">
        <v>6171</v>
      </c>
      <c r="C155" s="72" t="s">
        <v>364</v>
      </c>
      <c r="D155" s="71">
        <f>100227+200</f>
        <v>100427</v>
      </c>
      <c r="E155" s="71">
        <f>102917.7+220</f>
        <v>103137.7</v>
      </c>
      <c r="F155" s="71">
        <f>44183.1+101.1</f>
        <v>44284.2</v>
      </c>
      <c r="G155" s="258">
        <f t="shared" si="3"/>
        <v>42.93696679293798</v>
      </c>
    </row>
    <row r="156" spans="1:7" s="98" customFormat="1" ht="15.75" customHeight="1" thickBot="1">
      <c r="A156" s="118"/>
      <c r="B156" s="125"/>
      <c r="C156" s="124"/>
      <c r="D156" s="120"/>
      <c r="E156" s="120"/>
      <c r="F156" s="120"/>
      <c r="G156" s="264"/>
    </row>
    <row r="157" spans="1:7" s="98" customFormat="1" ht="18.75" customHeight="1" thickBot="1" thickTop="1">
      <c r="A157" s="115"/>
      <c r="B157" s="148"/>
      <c r="C157" s="147" t="s">
        <v>363</v>
      </c>
      <c r="D157" s="112">
        <f>SUM(D145:D156)</f>
        <v>110088.3</v>
      </c>
      <c r="E157" s="112">
        <f>SUM(E145:E156)</f>
        <v>113452</v>
      </c>
      <c r="F157" s="112">
        <f>SUM(F145:F156)</f>
        <v>47735.1</v>
      </c>
      <c r="G157" s="260">
        <f>(F157/E157)*100</f>
        <v>42.07515072453549</v>
      </c>
    </row>
    <row r="158" spans="1:7" s="98" customFormat="1" ht="15.75" customHeight="1">
      <c r="A158" s="97"/>
      <c r="B158" s="100"/>
      <c r="C158" s="111"/>
      <c r="D158" s="110"/>
      <c r="E158" s="146"/>
      <c r="F158" s="110"/>
      <c r="G158" s="261"/>
    </row>
    <row r="159" spans="1:7" s="98" customFormat="1" ht="12.75" customHeight="1" hidden="1">
      <c r="A159" s="97"/>
      <c r="B159" s="100"/>
      <c r="C159" s="111"/>
      <c r="D159" s="110"/>
      <c r="E159" s="110"/>
      <c r="F159" s="110"/>
      <c r="G159" s="261"/>
    </row>
    <row r="160" spans="1:7" s="98" customFormat="1" ht="12.75" customHeight="1" hidden="1">
      <c r="A160" s="97"/>
      <c r="B160" s="100"/>
      <c r="C160" s="111"/>
      <c r="D160" s="110"/>
      <c r="E160" s="110"/>
      <c r="F160" s="110"/>
      <c r="G160" s="261"/>
    </row>
    <row r="161" spans="1:7" s="98" customFormat="1" ht="12.75" customHeight="1" hidden="1">
      <c r="A161" s="97"/>
      <c r="B161" s="100"/>
      <c r="C161" s="111"/>
      <c r="D161" s="110"/>
      <c r="E161" s="110"/>
      <c r="F161" s="110"/>
      <c r="G161" s="261"/>
    </row>
    <row r="162" spans="1:7" s="98" customFormat="1" ht="12.75" customHeight="1" hidden="1">
      <c r="A162" s="97"/>
      <c r="B162" s="100"/>
      <c r="C162" s="111"/>
      <c r="D162" s="110"/>
      <c r="E162" s="110"/>
      <c r="F162" s="110"/>
      <c r="G162" s="261"/>
    </row>
    <row r="163" spans="1:7" s="98" customFormat="1" ht="15.75" customHeight="1" thickBot="1">
      <c r="A163" s="97"/>
      <c r="B163" s="100"/>
      <c r="C163" s="111"/>
      <c r="D163" s="110"/>
      <c r="E163" s="110"/>
      <c r="F163" s="110"/>
      <c r="G163" s="261"/>
    </row>
    <row r="164" spans="1:7" s="98" customFormat="1" ht="15.75">
      <c r="A164" s="242" t="s">
        <v>25</v>
      </c>
      <c r="B164" s="243" t="s">
        <v>26</v>
      </c>
      <c r="C164" s="242" t="s">
        <v>28</v>
      </c>
      <c r="D164" s="242" t="s">
        <v>29</v>
      </c>
      <c r="E164" s="242" t="s">
        <v>29</v>
      </c>
      <c r="F164" s="208" t="s">
        <v>7</v>
      </c>
      <c r="G164" s="255" t="s">
        <v>303</v>
      </c>
    </row>
    <row r="165" spans="1:7" s="98" customFormat="1" ht="15.75" customHeight="1" thickBot="1">
      <c r="A165" s="244"/>
      <c r="B165" s="245"/>
      <c r="C165" s="246"/>
      <c r="D165" s="247" t="s">
        <v>31</v>
      </c>
      <c r="E165" s="247" t="s">
        <v>32</v>
      </c>
      <c r="F165" s="212" t="s">
        <v>33</v>
      </c>
      <c r="G165" s="256" t="s">
        <v>302</v>
      </c>
    </row>
    <row r="166" spans="1:7" s="98" customFormat="1" ht="16.5" thickTop="1">
      <c r="A166" s="122">
        <v>50</v>
      </c>
      <c r="B166" s="141"/>
      <c r="C166" s="127" t="s">
        <v>151</v>
      </c>
      <c r="D166" s="57"/>
      <c r="E166" s="57"/>
      <c r="F166" s="57"/>
      <c r="G166" s="262"/>
    </row>
    <row r="167" spans="1:7" s="98" customFormat="1" ht="14.25" customHeight="1">
      <c r="A167" s="122"/>
      <c r="B167" s="141"/>
      <c r="C167" s="127"/>
      <c r="D167" s="57"/>
      <c r="E167" s="57"/>
      <c r="F167" s="57"/>
      <c r="G167" s="262"/>
    </row>
    <row r="168" spans="1:7" s="98" customFormat="1" ht="15">
      <c r="A168" s="36"/>
      <c r="B168" s="138">
        <v>3541</v>
      </c>
      <c r="C168" s="36" t="s">
        <v>362</v>
      </c>
      <c r="D168" s="22">
        <v>400</v>
      </c>
      <c r="E168" s="22">
        <v>400</v>
      </c>
      <c r="F168" s="22">
        <v>200</v>
      </c>
      <c r="G168" s="258">
        <f aca="true" t="shared" si="4" ref="G168:G184">(F168/E168)*100</f>
        <v>50</v>
      </c>
    </row>
    <row r="169" spans="1:7" s="98" customFormat="1" ht="15">
      <c r="A169" s="36"/>
      <c r="B169" s="138">
        <v>3599</v>
      </c>
      <c r="C169" s="36" t="s">
        <v>361</v>
      </c>
      <c r="D169" s="22">
        <v>3</v>
      </c>
      <c r="E169" s="22">
        <v>5</v>
      </c>
      <c r="F169" s="22">
        <v>3</v>
      </c>
      <c r="G169" s="258">
        <f t="shared" si="4"/>
        <v>60</v>
      </c>
    </row>
    <row r="170" spans="1:7" s="98" customFormat="1" ht="15">
      <c r="A170" s="36"/>
      <c r="B170" s="138">
        <v>4193</v>
      </c>
      <c r="C170" s="36" t="s">
        <v>360</v>
      </c>
      <c r="D170" s="22">
        <v>0</v>
      </c>
      <c r="E170" s="22">
        <v>19.4</v>
      </c>
      <c r="F170" s="22">
        <v>0</v>
      </c>
      <c r="G170" s="258">
        <f t="shared" si="4"/>
        <v>0</v>
      </c>
    </row>
    <row r="171" spans="1:7" s="98" customFormat="1" ht="15">
      <c r="A171" s="133"/>
      <c r="B171" s="138">
        <v>4329</v>
      </c>
      <c r="C171" s="36" t="s">
        <v>359</v>
      </c>
      <c r="D171" s="22">
        <v>40</v>
      </c>
      <c r="E171" s="22">
        <v>50</v>
      </c>
      <c r="F171" s="22">
        <v>46</v>
      </c>
      <c r="G171" s="258">
        <f t="shared" si="4"/>
        <v>92</v>
      </c>
    </row>
    <row r="172" spans="1:7" s="98" customFormat="1" ht="15">
      <c r="A172" s="36"/>
      <c r="B172" s="138">
        <v>4333</v>
      </c>
      <c r="C172" s="36" t="s">
        <v>358</v>
      </c>
      <c r="D172" s="22">
        <v>150</v>
      </c>
      <c r="E172" s="22">
        <v>150</v>
      </c>
      <c r="F172" s="22">
        <v>75</v>
      </c>
      <c r="G172" s="258">
        <f t="shared" si="4"/>
        <v>50</v>
      </c>
    </row>
    <row r="173" spans="1:7" s="98" customFormat="1" ht="15" customHeight="1" hidden="1">
      <c r="A173" s="36"/>
      <c r="B173" s="138">
        <v>4341</v>
      </c>
      <c r="C173" s="36" t="s">
        <v>357</v>
      </c>
      <c r="D173" s="22">
        <v>0</v>
      </c>
      <c r="E173" s="22">
        <v>0</v>
      </c>
      <c r="F173" s="22"/>
      <c r="G173" s="258" t="e">
        <f t="shared" si="4"/>
        <v>#DIV/0!</v>
      </c>
    </row>
    <row r="174" spans="1:7" s="98" customFormat="1" ht="15">
      <c r="A174" s="36"/>
      <c r="B174" s="138">
        <v>4342</v>
      </c>
      <c r="C174" s="36" t="s">
        <v>356</v>
      </c>
      <c r="D174" s="22">
        <v>20</v>
      </c>
      <c r="E174" s="22">
        <v>0.6</v>
      </c>
      <c r="F174" s="22">
        <v>0</v>
      </c>
      <c r="G174" s="258">
        <f t="shared" si="4"/>
        <v>0</v>
      </c>
    </row>
    <row r="175" spans="1:7" s="98" customFormat="1" ht="15">
      <c r="A175" s="36"/>
      <c r="B175" s="138">
        <v>4343</v>
      </c>
      <c r="C175" s="36" t="s">
        <v>355</v>
      </c>
      <c r="D175" s="22">
        <v>50</v>
      </c>
      <c r="E175" s="22">
        <v>50</v>
      </c>
      <c r="F175" s="22">
        <v>0</v>
      </c>
      <c r="G175" s="258">
        <f t="shared" si="4"/>
        <v>0</v>
      </c>
    </row>
    <row r="176" spans="1:7" s="98" customFormat="1" ht="15">
      <c r="A176" s="36"/>
      <c r="B176" s="138">
        <v>4349</v>
      </c>
      <c r="C176" s="36" t="s">
        <v>354</v>
      </c>
      <c r="D176" s="22">
        <v>530</v>
      </c>
      <c r="E176" s="22">
        <v>799.1</v>
      </c>
      <c r="F176" s="22">
        <v>405</v>
      </c>
      <c r="G176" s="258">
        <f t="shared" si="4"/>
        <v>50.6820172694281</v>
      </c>
    </row>
    <row r="177" spans="1:7" s="98" customFormat="1" ht="15">
      <c r="A177" s="133"/>
      <c r="B177" s="139">
        <v>4351</v>
      </c>
      <c r="C177" s="133" t="s">
        <v>353</v>
      </c>
      <c r="D177" s="22">
        <v>2124</v>
      </c>
      <c r="E177" s="22">
        <v>2132.9</v>
      </c>
      <c r="F177" s="22">
        <v>1070.8</v>
      </c>
      <c r="G177" s="258">
        <f t="shared" si="4"/>
        <v>50.20394767687186</v>
      </c>
    </row>
    <row r="178" spans="1:7" s="98" customFormat="1" ht="15">
      <c r="A178" s="133"/>
      <c r="B178" s="139">
        <v>4356</v>
      </c>
      <c r="C178" s="133" t="s">
        <v>352</v>
      </c>
      <c r="D178" s="22">
        <v>600</v>
      </c>
      <c r="E178" s="22">
        <v>600</v>
      </c>
      <c r="F178" s="22">
        <v>300</v>
      </c>
      <c r="G178" s="258">
        <f t="shared" si="4"/>
        <v>50</v>
      </c>
    </row>
    <row r="179" spans="1:7" s="98" customFormat="1" ht="15">
      <c r="A179" s="133"/>
      <c r="B179" s="139">
        <v>4357</v>
      </c>
      <c r="C179" s="133" t="s">
        <v>351</v>
      </c>
      <c r="D179" s="22">
        <v>8200</v>
      </c>
      <c r="E179" s="22">
        <v>8200</v>
      </c>
      <c r="F179" s="22">
        <v>8200</v>
      </c>
      <c r="G179" s="258">
        <f t="shared" si="4"/>
        <v>100</v>
      </c>
    </row>
    <row r="180" spans="1:7" s="98" customFormat="1" ht="15">
      <c r="A180" s="133"/>
      <c r="B180" s="139">
        <v>4357</v>
      </c>
      <c r="C180" s="133" t="s">
        <v>350</v>
      </c>
      <c r="D180" s="22">
        <v>500</v>
      </c>
      <c r="E180" s="22">
        <v>500</v>
      </c>
      <c r="F180" s="22">
        <v>250</v>
      </c>
      <c r="G180" s="258">
        <f t="shared" si="4"/>
        <v>50</v>
      </c>
    </row>
    <row r="181" spans="1:7" s="98" customFormat="1" ht="15">
      <c r="A181" s="133"/>
      <c r="B181" s="248">
        <v>4359</v>
      </c>
      <c r="C181" s="24" t="s">
        <v>349</v>
      </c>
      <c r="D181" s="25">
        <v>100</v>
      </c>
      <c r="E181" s="25">
        <v>100</v>
      </c>
      <c r="F181" s="25">
        <v>50</v>
      </c>
      <c r="G181" s="258">
        <f t="shared" si="4"/>
        <v>50</v>
      </c>
    </row>
    <row r="182" spans="1:7" s="98" customFormat="1" ht="15">
      <c r="A182" s="36"/>
      <c r="B182" s="138">
        <v>4371</v>
      </c>
      <c r="C182" s="145" t="s">
        <v>348</v>
      </c>
      <c r="D182" s="22">
        <v>520</v>
      </c>
      <c r="E182" s="22">
        <v>520</v>
      </c>
      <c r="F182" s="22">
        <v>260</v>
      </c>
      <c r="G182" s="258">
        <f t="shared" si="4"/>
        <v>50</v>
      </c>
    </row>
    <row r="183" spans="1:7" s="98" customFormat="1" ht="15">
      <c r="A183" s="36"/>
      <c r="B183" s="138">
        <v>4374</v>
      </c>
      <c r="C183" s="36" t="s">
        <v>347</v>
      </c>
      <c r="D183" s="22">
        <v>300</v>
      </c>
      <c r="E183" s="22">
        <v>300</v>
      </c>
      <c r="F183" s="22">
        <v>150</v>
      </c>
      <c r="G183" s="258">
        <f t="shared" si="4"/>
        <v>50</v>
      </c>
    </row>
    <row r="184" spans="1:7" s="98" customFormat="1" ht="15">
      <c r="A184" s="133"/>
      <c r="B184" s="139">
        <v>4399</v>
      </c>
      <c r="C184" s="133" t="s">
        <v>346</v>
      </c>
      <c r="D184" s="25">
        <v>60</v>
      </c>
      <c r="E184" s="25">
        <v>60</v>
      </c>
      <c r="F184" s="25">
        <v>9.4</v>
      </c>
      <c r="G184" s="258">
        <f t="shared" si="4"/>
        <v>15.666666666666668</v>
      </c>
    </row>
    <row r="185" spans="1:7" s="98" customFormat="1" ht="15" hidden="1">
      <c r="A185" s="133"/>
      <c r="B185" s="139">
        <v>6402</v>
      </c>
      <c r="C185" s="133" t="s">
        <v>345</v>
      </c>
      <c r="D185" s="120"/>
      <c r="E185" s="120"/>
      <c r="F185" s="25"/>
      <c r="G185" s="258" t="e">
        <f>(#REF!/E185)*100</f>
        <v>#REF!</v>
      </c>
    </row>
    <row r="186" spans="1:7" s="98" customFormat="1" ht="15" customHeight="1" hidden="1">
      <c r="A186" s="133"/>
      <c r="B186" s="139">
        <v>6409</v>
      </c>
      <c r="C186" s="133" t="s">
        <v>344</v>
      </c>
      <c r="D186" s="120">
        <v>0</v>
      </c>
      <c r="E186" s="120">
        <v>0</v>
      </c>
      <c r="F186" s="120"/>
      <c r="G186" s="258" t="e">
        <f>(#REF!/E186)*100</f>
        <v>#REF!</v>
      </c>
    </row>
    <row r="187" spans="1:7" s="98" customFormat="1" ht="15" customHeight="1" thickBot="1">
      <c r="A187" s="133"/>
      <c r="B187" s="139"/>
      <c r="C187" s="133"/>
      <c r="D187" s="120"/>
      <c r="E187" s="120"/>
      <c r="F187" s="120"/>
      <c r="G187" s="258"/>
    </row>
    <row r="188" spans="1:7" s="98" customFormat="1" ht="18.75" customHeight="1" thickBot="1" thickTop="1">
      <c r="A188" s="115"/>
      <c r="B188" s="144"/>
      <c r="C188" s="143" t="s">
        <v>343</v>
      </c>
      <c r="D188" s="112">
        <f>SUM(D168:D187)</f>
        <v>13597</v>
      </c>
      <c r="E188" s="112">
        <f>SUM(E168:E187)</f>
        <v>13887</v>
      </c>
      <c r="F188" s="112">
        <f>SUM(F168:F187)</f>
        <v>11019.199999999999</v>
      </c>
      <c r="G188" s="260">
        <f>(F188/E188)*100</f>
        <v>79.34903146827968</v>
      </c>
    </row>
    <row r="189" spans="1:7" s="98" customFormat="1" ht="15.75" customHeight="1">
      <c r="A189" s="97"/>
      <c r="B189" s="100"/>
      <c r="C189" s="111"/>
      <c r="D189" s="142"/>
      <c r="E189" s="142"/>
      <c r="F189" s="142"/>
      <c r="G189" s="261"/>
    </row>
    <row r="190" spans="1:7" s="98" customFormat="1" ht="15.75" customHeight="1">
      <c r="A190" s="97"/>
      <c r="B190" s="100"/>
      <c r="C190" s="111"/>
      <c r="D190" s="110"/>
      <c r="E190" s="110"/>
      <c r="F190" s="110"/>
      <c r="G190" s="261"/>
    </row>
    <row r="191" spans="1:7" s="98" customFormat="1" ht="12.75" customHeight="1" hidden="1">
      <c r="A191" s="97"/>
      <c r="C191" s="100"/>
      <c r="D191" s="110"/>
      <c r="E191" s="110"/>
      <c r="F191" s="110"/>
      <c r="G191" s="261"/>
    </row>
    <row r="192" spans="1:7" s="98" customFormat="1" ht="12.75" customHeight="1" hidden="1">
      <c r="A192" s="97"/>
      <c r="B192" s="100"/>
      <c r="C192" s="111"/>
      <c r="D192" s="110"/>
      <c r="E192" s="110"/>
      <c r="F192" s="110"/>
      <c r="G192" s="261"/>
    </row>
    <row r="193" spans="1:7" s="98" customFormat="1" ht="12.75" customHeight="1" hidden="1">
      <c r="A193" s="97"/>
      <c r="B193" s="100"/>
      <c r="C193" s="111"/>
      <c r="D193" s="110"/>
      <c r="E193" s="110"/>
      <c r="F193" s="110"/>
      <c r="G193" s="261"/>
    </row>
    <row r="194" spans="1:7" s="98" customFormat="1" ht="12.75" customHeight="1" hidden="1">
      <c r="A194" s="97"/>
      <c r="B194" s="100"/>
      <c r="C194" s="111"/>
      <c r="D194" s="110"/>
      <c r="E194" s="110"/>
      <c r="F194" s="110"/>
      <c r="G194" s="261"/>
    </row>
    <row r="195" spans="1:7" s="98" customFormat="1" ht="12.75" customHeight="1" hidden="1">
      <c r="A195" s="97"/>
      <c r="B195" s="100"/>
      <c r="C195" s="111"/>
      <c r="D195" s="110"/>
      <c r="E195" s="110"/>
      <c r="F195" s="110"/>
      <c r="G195" s="261"/>
    </row>
    <row r="196" spans="1:7" s="98" customFormat="1" ht="12.75" customHeight="1" hidden="1">
      <c r="A196" s="97"/>
      <c r="B196" s="100"/>
      <c r="C196" s="111"/>
      <c r="D196" s="110"/>
      <c r="E196" s="110"/>
      <c r="F196" s="110"/>
      <c r="G196" s="261"/>
    </row>
    <row r="197" spans="1:7" s="98" customFormat="1" ht="12.75" customHeight="1" hidden="1">
      <c r="A197" s="97"/>
      <c r="B197" s="100"/>
      <c r="C197" s="111"/>
      <c r="D197" s="110"/>
      <c r="E197" s="131"/>
      <c r="F197" s="131"/>
      <c r="G197" s="251"/>
    </row>
    <row r="198" spans="1:7" s="98" customFormat="1" ht="12.75" customHeight="1" hidden="1">
      <c r="A198" s="97"/>
      <c r="B198" s="100"/>
      <c r="C198" s="111"/>
      <c r="D198" s="110"/>
      <c r="E198" s="110"/>
      <c r="F198" s="110"/>
      <c r="G198" s="261"/>
    </row>
    <row r="199" spans="1:7" s="98" customFormat="1" ht="12.75" customHeight="1" hidden="1">
      <c r="A199" s="97"/>
      <c r="B199" s="100"/>
      <c r="C199" s="111"/>
      <c r="D199" s="110"/>
      <c r="E199" s="110"/>
      <c r="F199" s="110"/>
      <c r="G199" s="261"/>
    </row>
    <row r="200" spans="1:7" s="98" customFormat="1" ht="18" customHeight="1" hidden="1">
      <c r="A200" s="97"/>
      <c r="B200" s="100"/>
      <c r="C200" s="111"/>
      <c r="D200" s="110"/>
      <c r="E200" s="131"/>
      <c r="F200" s="131"/>
      <c r="G200" s="251"/>
    </row>
    <row r="201" spans="1:7" s="98" customFormat="1" ht="15.75" customHeight="1" thickBot="1">
      <c r="A201" s="97"/>
      <c r="B201" s="100"/>
      <c r="C201" s="111"/>
      <c r="D201" s="110"/>
      <c r="E201" s="130"/>
      <c r="F201" s="130"/>
      <c r="G201" s="253"/>
    </row>
    <row r="202" spans="1:7" s="98" customFormat="1" ht="15.75">
      <c r="A202" s="242" t="s">
        <v>25</v>
      </c>
      <c r="B202" s="243" t="s">
        <v>26</v>
      </c>
      <c r="C202" s="242" t="s">
        <v>28</v>
      </c>
      <c r="D202" s="242" t="s">
        <v>29</v>
      </c>
      <c r="E202" s="242" t="s">
        <v>29</v>
      </c>
      <c r="F202" s="208" t="s">
        <v>7</v>
      </c>
      <c r="G202" s="255" t="s">
        <v>303</v>
      </c>
    </row>
    <row r="203" spans="1:7" s="98" customFormat="1" ht="15.75" customHeight="1" thickBot="1">
      <c r="A203" s="244"/>
      <c r="B203" s="245"/>
      <c r="C203" s="246"/>
      <c r="D203" s="247" t="s">
        <v>31</v>
      </c>
      <c r="E203" s="247" t="s">
        <v>32</v>
      </c>
      <c r="F203" s="212" t="s">
        <v>33</v>
      </c>
      <c r="G203" s="256" t="s">
        <v>302</v>
      </c>
    </row>
    <row r="204" spans="1:7" s="98" customFormat="1" ht="16.5" thickTop="1">
      <c r="A204" s="122">
        <v>60</v>
      </c>
      <c r="B204" s="141"/>
      <c r="C204" s="127" t="s">
        <v>168</v>
      </c>
      <c r="D204" s="57"/>
      <c r="E204" s="57"/>
      <c r="F204" s="57"/>
      <c r="G204" s="262"/>
    </row>
    <row r="205" spans="1:7" s="98" customFormat="1" ht="15.75">
      <c r="A205" s="69"/>
      <c r="B205" s="140"/>
      <c r="C205" s="69"/>
      <c r="D205" s="71"/>
      <c r="E205" s="71"/>
      <c r="F205" s="71"/>
      <c r="G205" s="258"/>
    </row>
    <row r="206" spans="1:7" s="98" customFormat="1" ht="15">
      <c r="A206" s="36"/>
      <c r="B206" s="138">
        <v>1014</v>
      </c>
      <c r="C206" s="36" t="s">
        <v>342</v>
      </c>
      <c r="D206" s="22">
        <v>550</v>
      </c>
      <c r="E206" s="22">
        <v>546</v>
      </c>
      <c r="F206" s="22">
        <v>269.5</v>
      </c>
      <c r="G206" s="258">
        <f aca="true" t="shared" si="5" ref="G206:G216">(F206/E206)*100</f>
        <v>49.358974358974365</v>
      </c>
    </row>
    <row r="207" spans="1:7" s="98" customFormat="1" ht="15" customHeight="1" hidden="1">
      <c r="A207" s="133"/>
      <c r="B207" s="139">
        <v>1031</v>
      </c>
      <c r="C207" s="133" t="s">
        <v>341</v>
      </c>
      <c r="D207" s="25"/>
      <c r="E207" s="25"/>
      <c r="F207" s="25"/>
      <c r="G207" s="258" t="e">
        <f t="shared" si="5"/>
        <v>#DIV/0!</v>
      </c>
    </row>
    <row r="208" spans="1:7" s="98" customFormat="1" ht="15">
      <c r="A208" s="36"/>
      <c r="B208" s="138">
        <v>1036</v>
      </c>
      <c r="C208" s="36" t="s">
        <v>340</v>
      </c>
      <c r="D208" s="22">
        <v>0</v>
      </c>
      <c r="E208" s="22">
        <v>20.4</v>
      </c>
      <c r="F208" s="22">
        <v>0</v>
      </c>
      <c r="G208" s="258">
        <f t="shared" si="5"/>
        <v>0</v>
      </c>
    </row>
    <row r="209" spans="1:7" s="98" customFormat="1" ht="15" customHeight="1" hidden="1">
      <c r="A209" s="133"/>
      <c r="B209" s="139">
        <v>1037</v>
      </c>
      <c r="C209" s="133" t="s">
        <v>339</v>
      </c>
      <c r="D209" s="25">
        <v>0</v>
      </c>
      <c r="E209" s="25">
        <v>0</v>
      </c>
      <c r="F209" s="25"/>
      <c r="G209" s="258" t="e">
        <f t="shared" si="5"/>
        <v>#DIV/0!</v>
      </c>
    </row>
    <row r="210" spans="1:7" s="98" customFormat="1" ht="15" hidden="1">
      <c r="A210" s="133"/>
      <c r="B210" s="139">
        <v>1039</v>
      </c>
      <c r="C210" s="133" t="s">
        <v>338</v>
      </c>
      <c r="D210" s="25">
        <v>0</v>
      </c>
      <c r="E210" s="25"/>
      <c r="F210" s="25"/>
      <c r="G210" s="258" t="e">
        <f t="shared" si="5"/>
        <v>#DIV/0!</v>
      </c>
    </row>
    <row r="211" spans="1:7" s="98" customFormat="1" ht="15">
      <c r="A211" s="133"/>
      <c r="B211" s="139">
        <v>1070</v>
      </c>
      <c r="C211" s="133" t="s">
        <v>337</v>
      </c>
      <c r="D211" s="25">
        <v>7</v>
      </c>
      <c r="E211" s="25">
        <v>6.5</v>
      </c>
      <c r="F211" s="25">
        <v>6.5</v>
      </c>
      <c r="G211" s="258">
        <f t="shared" si="5"/>
        <v>100</v>
      </c>
    </row>
    <row r="212" spans="1:7" s="98" customFormat="1" ht="15" hidden="1">
      <c r="A212" s="133"/>
      <c r="B212" s="139">
        <v>2331</v>
      </c>
      <c r="C212" s="133" t="s">
        <v>336</v>
      </c>
      <c r="D212" s="25"/>
      <c r="E212" s="25"/>
      <c r="F212" s="22"/>
      <c r="G212" s="258" t="e">
        <f t="shared" si="5"/>
        <v>#DIV/0!</v>
      </c>
    </row>
    <row r="213" spans="1:7" s="98" customFormat="1" ht="15">
      <c r="A213" s="133"/>
      <c r="B213" s="139">
        <v>3739</v>
      </c>
      <c r="C213" s="133" t="s">
        <v>335</v>
      </c>
      <c r="D213" s="22">
        <v>50</v>
      </c>
      <c r="E213" s="22">
        <v>50</v>
      </c>
      <c r="F213" s="22">
        <v>0</v>
      </c>
      <c r="G213" s="258">
        <f t="shared" si="5"/>
        <v>0</v>
      </c>
    </row>
    <row r="214" spans="1:7" s="98" customFormat="1" ht="15">
      <c r="A214" s="36"/>
      <c r="B214" s="138">
        <v>3749</v>
      </c>
      <c r="C214" s="36" t="s">
        <v>334</v>
      </c>
      <c r="D214" s="22">
        <v>50</v>
      </c>
      <c r="E214" s="22">
        <v>50</v>
      </c>
      <c r="F214" s="22">
        <v>6.8</v>
      </c>
      <c r="G214" s="258">
        <f t="shared" si="5"/>
        <v>13.600000000000001</v>
      </c>
    </row>
    <row r="215" spans="1:7" s="98" customFormat="1" ht="15">
      <c r="A215" s="36"/>
      <c r="B215" s="138">
        <v>5272</v>
      </c>
      <c r="C215" s="36" t="s">
        <v>333</v>
      </c>
      <c r="D215" s="22">
        <v>0</v>
      </c>
      <c r="E215" s="22">
        <v>100</v>
      </c>
      <c r="F215" s="22">
        <v>0</v>
      </c>
      <c r="G215" s="258">
        <f t="shared" si="5"/>
        <v>0</v>
      </c>
    </row>
    <row r="216" spans="1:7" s="98" customFormat="1" ht="15">
      <c r="A216" s="36"/>
      <c r="B216" s="138">
        <v>6171</v>
      </c>
      <c r="C216" s="36" t="s">
        <v>332</v>
      </c>
      <c r="D216" s="22">
        <v>0</v>
      </c>
      <c r="E216" s="22">
        <v>4.5</v>
      </c>
      <c r="F216" s="22">
        <v>4.3</v>
      </c>
      <c r="G216" s="258">
        <f t="shared" si="5"/>
        <v>95.55555555555554</v>
      </c>
    </row>
    <row r="217" spans="1:7" s="98" customFormat="1" ht="15.75" thickBot="1">
      <c r="A217" s="136"/>
      <c r="B217" s="137"/>
      <c r="C217" s="136"/>
      <c r="D217" s="120"/>
      <c r="E217" s="120"/>
      <c r="F217" s="120"/>
      <c r="G217" s="264"/>
    </row>
    <row r="218" spans="1:7" s="98" customFormat="1" ht="18.75" customHeight="1" thickBot="1" thickTop="1">
      <c r="A218" s="123"/>
      <c r="B218" s="135"/>
      <c r="C218" s="109" t="s">
        <v>331</v>
      </c>
      <c r="D218" s="112">
        <f>SUM(D204:D217)</f>
        <v>657</v>
      </c>
      <c r="E218" s="112">
        <f>SUM(E204:E217)</f>
        <v>777.4</v>
      </c>
      <c r="F218" s="112">
        <f>SUM(F204:F217)</f>
        <v>287.1</v>
      </c>
      <c r="G218" s="260">
        <f>(F218/E218)*100</f>
        <v>36.930794957550816</v>
      </c>
    </row>
    <row r="219" spans="1:7" s="98" customFormat="1" ht="12.75" customHeight="1">
      <c r="A219" s="97"/>
      <c r="B219" s="100"/>
      <c r="C219" s="111"/>
      <c r="D219" s="110"/>
      <c r="E219" s="110"/>
      <c r="F219" s="110"/>
      <c r="G219" s="261"/>
    </row>
    <row r="220" spans="1:7" s="98" customFormat="1" ht="12.75" customHeight="1" hidden="1">
      <c r="A220" s="97"/>
      <c r="B220" s="100"/>
      <c r="C220" s="111"/>
      <c r="D220" s="110"/>
      <c r="E220" s="110"/>
      <c r="F220" s="110"/>
      <c r="G220" s="261"/>
    </row>
    <row r="221" spans="1:7" s="98" customFormat="1" ht="12.75" customHeight="1" hidden="1">
      <c r="A221" s="97"/>
      <c r="B221" s="100"/>
      <c r="C221" s="111"/>
      <c r="D221" s="110"/>
      <c r="E221" s="110"/>
      <c r="F221" s="110"/>
      <c r="G221" s="261"/>
    </row>
    <row r="222" spans="1:7" s="98" customFormat="1" ht="12.75" customHeight="1" hidden="1">
      <c r="A222" s="97"/>
      <c r="B222" s="100"/>
      <c r="C222" s="111"/>
      <c r="D222" s="110"/>
      <c r="E222" s="110"/>
      <c r="F222" s="110"/>
      <c r="G222" s="261"/>
    </row>
    <row r="223" spans="2:7" s="98" customFormat="1" ht="12.75" customHeight="1" hidden="1">
      <c r="B223" s="128"/>
      <c r="G223" s="237"/>
    </row>
    <row r="224" spans="2:7" s="98" customFormat="1" ht="12.75" customHeight="1">
      <c r="B224" s="128"/>
      <c r="G224" s="237"/>
    </row>
    <row r="225" spans="2:7" s="98" customFormat="1" ht="12.75" customHeight="1">
      <c r="B225" s="128"/>
      <c r="G225" s="237"/>
    </row>
    <row r="226" spans="2:7" s="98" customFormat="1" ht="12.75" customHeight="1" thickBot="1">
      <c r="B226" s="128"/>
      <c r="G226" s="237"/>
    </row>
    <row r="227" spans="1:7" s="98" customFormat="1" ht="15.75">
      <c r="A227" s="242" t="s">
        <v>25</v>
      </c>
      <c r="B227" s="243" t="s">
        <v>26</v>
      </c>
      <c r="C227" s="242" t="s">
        <v>28</v>
      </c>
      <c r="D227" s="242" t="s">
        <v>29</v>
      </c>
      <c r="E227" s="242" t="s">
        <v>29</v>
      </c>
      <c r="F227" s="208" t="s">
        <v>7</v>
      </c>
      <c r="G227" s="255" t="s">
        <v>303</v>
      </c>
    </row>
    <row r="228" spans="1:7" s="98" customFormat="1" ht="15.75" customHeight="1" thickBot="1">
      <c r="A228" s="244"/>
      <c r="B228" s="245"/>
      <c r="C228" s="246"/>
      <c r="D228" s="247" t="s">
        <v>31</v>
      </c>
      <c r="E228" s="247" t="s">
        <v>32</v>
      </c>
      <c r="F228" s="212" t="s">
        <v>33</v>
      </c>
      <c r="G228" s="256" t="s">
        <v>302</v>
      </c>
    </row>
    <row r="229" spans="1:7" s="98" customFormat="1" ht="16.5" thickTop="1">
      <c r="A229" s="122">
        <v>80</v>
      </c>
      <c r="B229" s="122"/>
      <c r="C229" s="127" t="s">
        <v>182</v>
      </c>
      <c r="D229" s="57"/>
      <c r="E229" s="57"/>
      <c r="F229" s="57"/>
      <c r="G229" s="262"/>
    </row>
    <row r="230" spans="1:7" s="98" customFormat="1" ht="15.75">
      <c r="A230" s="69"/>
      <c r="B230" s="121"/>
      <c r="C230" s="69"/>
      <c r="D230" s="71"/>
      <c r="E230" s="71"/>
      <c r="F230" s="71"/>
      <c r="G230" s="258"/>
    </row>
    <row r="231" spans="1:7" s="98" customFormat="1" ht="15">
      <c r="A231" s="36"/>
      <c r="B231" s="119">
        <v>2219</v>
      </c>
      <c r="C231" s="36" t="s">
        <v>330</v>
      </c>
      <c r="D231" s="73">
        <v>3370</v>
      </c>
      <c r="E231" s="22">
        <v>3520</v>
      </c>
      <c r="F231" s="22">
        <v>1956.6</v>
      </c>
      <c r="G231" s="258">
        <f>(F231/E231)*100</f>
        <v>55.585227272727266</v>
      </c>
    </row>
    <row r="232" spans="1:82" s="97" customFormat="1" ht="15">
      <c r="A232" s="36"/>
      <c r="B232" s="119">
        <v>2221</v>
      </c>
      <c r="C232" s="36" t="s">
        <v>329</v>
      </c>
      <c r="D232" s="73">
        <v>17086</v>
      </c>
      <c r="E232" s="22">
        <v>17086</v>
      </c>
      <c r="F232" s="22">
        <v>7966.7</v>
      </c>
      <c r="G232" s="258">
        <f>(F232/E232)*100</f>
        <v>46.627063092590426</v>
      </c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</row>
    <row r="233" spans="1:82" s="97" customFormat="1" ht="15">
      <c r="A233" s="36"/>
      <c r="B233" s="119">
        <v>2232</v>
      </c>
      <c r="C233" s="36" t="s">
        <v>328</v>
      </c>
      <c r="D233" s="22">
        <v>260</v>
      </c>
      <c r="E233" s="22">
        <v>260</v>
      </c>
      <c r="F233" s="22">
        <v>0</v>
      </c>
      <c r="G233" s="258">
        <f>(F233/E233)*100</f>
        <v>0</v>
      </c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</row>
    <row r="234" spans="1:82" s="97" customFormat="1" ht="15">
      <c r="A234" s="133"/>
      <c r="B234" s="134">
        <v>6171</v>
      </c>
      <c r="C234" s="133" t="s">
        <v>327</v>
      </c>
      <c r="D234" s="71">
        <v>0</v>
      </c>
      <c r="E234" s="71">
        <v>0</v>
      </c>
      <c r="F234" s="71">
        <v>27</v>
      </c>
      <c r="G234" s="258" t="e">
        <f>(F234/E234)*100</f>
        <v>#DIV/0!</v>
      </c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</row>
    <row r="235" spans="1:82" s="97" customFormat="1" ht="15.75" thickBot="1">
      <c r="A235" s="124"/>
      <c r="B235" s="125"/>
      <c r="C235" s="124"/>
      <c r="D235" s="132"/>
      <c r="E235" s="132"/>
      <c r="F235" s="132"/>
      <c r="G235" s="259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</row>
    <row r="236" spans="1:82" s="97" customFormat="1" ht="18.75" customHeight="1" thickBot="1" thickTop="1">
      <c r="A236" s="123"/>
      <c r="B236" s="114"/>
      <c r="C236" s="109" t="s">
        <v>326</v>
      </c>
      <c r="D236" s="112">
        <f>SUM(D231:D234)</f>
        <v>20716</v>
      </c>
      <c r="E236" s="112">
        <f>SUM(E231:E234)</f>
        <v>20866</v>
      </c>
      <c r="F236" s="112">
        <f>SUM(F231:F234)</f>
        <v>9950.3</v>
      </c>
      <c r="G236" s="260">
        <f>(F236/E236)*100</f>
        <v>47.68666730566471</v>
      </c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</row>
    <row r="237" spans="2:82" s="97" customFormat="1" ht="15.75" customHeight="1">
      <c r="B237" s="100"/>
      <c r="C237" s="111"/>
      <c r="D237" s="110"/>
      <c r="E237" s="110"/>
      <c r="F237" s="110"/>
      <c r="G237" s="261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</row>
    <row r="238" spans="2:82" s="97" customFormat="1" ht="12.75" customHeight="1" hidden="1">
      <c r="B238" s="100"/>
      <c r="C238" s="111"/>
      <c r="D238" s="110"/>
      <c r="E238" s="110"/>
      <c r="F238" s="110"/>
      <c r="G238" s="261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</row>
    <row r="239" spans="2:82" s="97" customFormat="1" ht="12.75" customHeight="1" hidden="1">
      <c r="B239" s="100"/>
      <c r="C239" s="111"/>
      <c r="D239" s="110"/>
      <c r="E239" s="110"/>
      <c r="F239" s="110"/>
      <c r="G239" s="261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</row>
    <row r="240" spans="2:82" s="97" customFormat="1" ht="12.75" customHeight="1" hidden="1">
      <c r="B240" s="100"/>
      <c r="C240" s="111"/>
      <c r="D240" s="110"/>
      <c r="E240" s="110"/>
      <c r="F240" s="110"/>
      <c r="G240" s="261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</row>
    <row r="241" spans="2:82" s="97" customFormat="1" ht="12.75" customHeight="1" hidden="1">
      <c r="B241" s="100"/>
      <c r="C241" s="111"/>
      <c r="D241" s="110"/>
      <c r="E241" s="110"/>
      <c r="F241" s="110"/>
      <c r="G241" s="261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</row>
    <row r="242" spans="2:82" s="97" customFormat="1" ht="12.75" customHeight="1" hidden="1">
      <c r="B242" s="100"/>
      <c r="C242" s="111"/>
      <c r="D242" s="110"/>
      <c r="E242" s="110"/>
      <c r="F242" s="110"/>
      <c r="G242" s="261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</row>
    <row r="243" spans="2:82" s="97" customFormat="1" ht="12.75" customHeight="1" hidden="1">
      <c r="B243" s="100"/>
      <c r="C243" s="111"/>
      <c r="D243" s="110"/>
      <c r="E243" s="110"/>
      <c r="F243" s="110"/>
      <c r="G243" s="261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</row>
    <row r="244" spans="2:82" s="97" customFormat="1" ht="12.75" customHeight="1" hidden="1">
      <c r="B244" s="100"/>
      <c r="C244" s="111"/>
      <c r="D244" s="110"/>
      <c r="E244" s="110"/>
      <c r="F244" s="110"/>
      <c r="G244" s="261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</row>
    <row r="245" spans="2:82" s="97" customFormat="1" ht="15.75" customHeight="1">
      <c r="B245" s="100"/>
      <c r="C245" s="111"/>
      <c r="D245" s="110"/>
      <c r="E245" s="131"/>
      <c r="F245" s="131"/>
      <c r="G245" s="251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/>
      <c r="BX245" s="98"/>
      <c r="BY245" s="98"/>
      <c r="BZ245" s="98"/>
      <c r="CA245" s="98"/>
      <c r="CB245" s="98"/>
      <c r="CC245" s="98"/>
      <c r="CD245" s="98"/>
    </row>
    <row r="246" spans="2:82" s="97" customFormat="1" ht="15.75" customHeight="1">
      <c r="B246" s="100"/>
      <c r="C246" s="111"/>
      <c r="D246" s="110"/>
      <c r="E246" s="110"/>
      <c r="F246" s="110"/>
      <c r="G246" s="261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/>
      <c r="BX246" s="98"/>
      <c r="BY246" s="98"/>
      <c r="BZ246" s="98"/>
      <c r="CA246" s="98"/>
      <c r="CB246" s="98"/>
      <c r="CC246" s="98"/>
      <c r="CD246" s="98"/>
    </row>
    <row r="247" spans="2:82" s="97" customFormat="1" ht="15.75" customHeight="1" thickBot="1">
      <c r="B247" s="100"/>
      <c r="C247" s="111"/>
      <c r="D247" s="110"/>
      <c r="E247" s="130"/>
      <c r="F247" s="130"/>
      <c r="G247" s="253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/>
      <c r="BX247" s="98"/>
      <c r="BY247" s="98"/>
      <c r="BZ247" s="98"/>
      <c r="CA247" s="98"/>
      <c r="CB247" s="98"/>
      <c r="CC247" s="98"/>
      <c r="CD247" s="98"/>
    </row>
    <row r="248" spans="1:82" s="97" customFormat="1" ht="15.75" customHeight="1">
      <c r="A248" s="242" t="s">
        <v>25</v>
      </c>
      <c r="B248" s="243" t="s">
        <v>26</v>
      </c>
      <c r="C248" s="242" t="s">
        <v>28</v>
      </c>
      <c r="D248" s="242" t="s">
        <v>29</v>
      </c>
      <c r="E248" s="242" t="s">
        <v>29</v>
      </c>
      <c r="F248" s="208" t="s">
        <v>7</v>
      </c>
      <c r="G248" s="255" t="s">
        <v>303</v>
      </c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</row>
    <row r="249" spans="1:7" s="98" customFormat="1" ht="15.75" customHeight="1" thickBot="1">
      <c r="A249" s="244"/>
      <c r="B249" s="245"/>
      <c r="C249" s="246"/>
      <c r="D249" s="247" t="s">
        <v>31</v>
      </c>
      <c r="E249" s="247" t="s">
        <v>32</v>
      </c>
      <c r="F249" s="212" t="s">
        <v>33</v>
      </c>
      <c r="G249" s="256" t="s">
        <v>302</v>
      </c>
    </row>
    <row r="250" spans="1:7" s="98" customFormat="1" ht="16.5" thickTop="1">
      <c r="A250" s="122">
        <v>90</v>
      </c>
      <c r="B250" s="122"/>
      <c r="C250" s="127" t="s">
        <v>194</v>
      </c>
      <c r="D250" s="57"/>
      <c r="E250" s="57"/>
      <c r="F250" s="57"/>
      <c r="G250" s="262"/>
    </row>
    <row r="251" spans="1:7" s="98" customFormat="1" ht="15.75">
      <c r="A251" s="69"/>
      <c r="B251" s="121"/>
      <c r="C251" s="69"/>
      <c r="D251" s="71"/>
      <c r="E251" s="71"/>
      <c r="F251" s="71"/>
      <c r="G251" s="258"/>
    </row>
    <row r="252" spans="1:7" s="98" customFormat="1" ht="15">
      <c r="A252" s="36"/>
      <c r="B252" s="119">
        <v>5311</v>
      </c>
      <c r="C252" s="36" t="s">
        <v>325</v>
      </c>
      <c r="D252" s="71">
        <v>18862</v>
      </c>
      <c r="E252" s="71">
        <v>18982</v>
      </c>
      <c r="F252" s="71">
        <v>9083.4</v>
      </c>
      <c r="G252" s="258">
        <f>(F252/E252)*100</f>
        <v>47.8527025603203</v>
      </c>
    </row>
    <row r="253" spans="1:7" s="98" customFormat="1" ht="16.5" thickBot="1">
      <c r="A253" s="118"/>
      <c r="B253" s="118"/>
      <c r="C253" s="117"/>
      <c r="D253" s="129"/>
      <c r="E253" s="129"/>
      <c r="F253" s="129"/>
      <c r="G253" s="265"/>
    </row>
    <row r="254" spans="1:7" s="98" customFormat="1" ht="18.75" customHeight="1" thickBot="1" thickTop="1">
      <c r="A254" s="123"/>
      <c r="B254" s="114"/>
      <c r="C254" s="109" t="s">
        <v>324</v>
      </c>
      <c r="D254" s="112">
        <f>SUM(D250:D253)</f>
        <v>18862</v>
      </c>
      <c r="E254" s="112">
        <f>SUM(E250:E253)</f>
        <v>18982</v>
      </c>
      <c r="F254" s="112">
        <f>SUM(F250:F253)</f>
        <v>9083.4</v>
      </c>
      <c r="G254" s="260">
        <f>(F254/E254)*100</f>
        <v>47.8527025603203</v>
      </c>
    </row>
    <row r="255" spans="1:7" s="98" customFormat="1" ht="15.75" customHeight="1">
      <c r="A255" s="97"/>
      <c r="B255" s="100"/>
      <c r="C255" s="111"/>
      <c r="D255" s="110"/>
      <c r="E255" s="110"/>
      <c r="F255" s="110"/>
      <c r="G255" s="261"/>
    </row>
    <row r="256" spans="1:7" s="98" customFormat="1" ht="15.75" customHeight="1" thickBot="1">
      <c r="A256" s="97"/>
      <c r="B256" s="100"/>
      <c r="C256" s="111"/>
      <c r="D256" s="110"/>
      <c r="E256" s="110"/>
      <c r="F256" s="110"/>
      <c r="G256" s="261"/>
    </row>
    <row r="257" spans="1:82" s="97" customFormat="1" ht="15.75" customHeight="1">
      <c r="A257" s="242" t="s">
        <v>25</v>
      </c>
      <c r="B257" s="243" t="s">
        <v>26</v>
      </c>
      <c r="C257" s="242" t="s">
        <v>28</v>
      </c>
      <c r="D257" s="242" t="s">
        <v>29</v>
      </c>
      <c r="E257" s="242" t="s">
        <v>29</v>
      </c>
      <c r="F257" s="208" t="s">
        <v>7</v>
      </c>
      <c r="G257" s="255" t="s">
        <v>303</v>
      </c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</row>
    <row r="258" spans="1:7" s="98" customFormat="1" ht="15.75" customHeight="1" thickBot="1">
      <c r="A258" s="244"/>
      <c r="B258" s="245"/>
      <c r="C258" s="246"/>
      <c r="D258" s="247" t="s">
        <v>31</v>
      </c>
      <c r="E258" s="247" t="s">
        <v>32</v>
      </c>
      <c r="F258" s="212" t="s">
        <v>33</v>
      </c>
      <c r="G258" s="256" t="s">
        <v>302</v>
      </c>
    </row>
    <row r="259" spans="1:7" s="98" customFormat="1" ht="16.5" thickTop="1">
      <c r="A259" s="122">
        <v>100</v>
      </c>
      <c r="B259" s="122"/>
      <c r="C259" s="69" t="s">
        <v>202</v>
      </c>
      <c r="D259" s="57"/>
      <c r="E259" s="57"/>
      <c r="F259" s="57"/>
      <c r="G259" s="262"/>
    </row>
    <row r="260" spans="1:7" s="98" customFormat="1" ht="15.75">
      <c r="A260" s="69"/>
      <c r="B260" s="121"/>
      <c r="C260" s="69"/>
      <c r="D260" s="71"/>
      <c r="E260" s="71"/>
      <c r="F260" s="71"/>
      <c r="G260" s="258"/>
    </row>
    <row r="261" spans="1:7" s="98" customFormat="1" ht="15.75">
      <c r="A261" s="69"/>
      <c r="B261" s="121"/>
      <c r="C261" s="69"/>
      <c r="D261" s="71"/>
      <c r="E261" s="71"/>
      <c r="F261" s="71"/>
      <c r="G261" s="258"/>
    </row>
    <row r="262" spans="1:7" s="98" customFormat="1" ht="15.75">
      <c r="A262" s="121"/>
      <c r="B262" s="249">
        <v>2169</v>
      </c>
      <c r="C262" s="21" t="s">
        <v>323</v>
      </c>
      <c r="D262" s="22">
        <v>300</v>
      </c>
      <c r="E262" s="22">
        <v>300</v>
      </c>
      <c r="F262" s="22">
        <v>14.5</v>
      </c>
      <c r="G262" s="258">
        <f>(F262/E262)*100</f>
        <v>4.833333333333333</v>
      </c>
    </row>
    <row r="263" spans="1:7" s="98" customFormat="1" ht="16.5" thickBot="1">
      <c r="A263" s="118"/>
      <c r="B263" s="250"/>
      <c r="C263" s="77"/>
      <c r="D263" s="78"/>
      <c r="E263" s="78"/>
      <c r="F263" s="78"/>
      <c r="G263" s="258"/>
    </row>
    <row r="264" spans="1:7" s="98" customFormat="1" ht="18.75" customHeight="1" thickBot="1" thickTop="1">
      <c r="A264" s="123"/>
      <c r="B264" s="114"/>
      <c r="C264" s="109" t="s">
        <v>322</v>
      </c>
      <c r="D264" s="112">
        <f>SUM(D259:D263)</f>
        <v>300</v>
      </c>
      <c r="E264" s="112">
        <f>SUM(E259:E263)</f>
        <v>300</v>
      </c>
      <c r="F264" s="112">
        <f>SUM(F259:F263)</f>
        <v>14.5</v>
      </c>
      <c r="G264" s="260">
        <f>(F264/E264)*100</f>
        <v>4.833333333333333</v>
      </c>
    </row>
    <row r="265" spans="1:7" s="98" customFormat="1" ht="15.75" customHeight="1">
      <c r="A265" s="97"/>
      <c r="B265" s="100"/>
      <c r="C265" s="111"/>
      <c r="D265" s="110"/>
      <c r="E265" s="110"/>
      <c r="F265" s="110"/>
      <c r="G265" s="261"/>
    </row>
    <row r="266" spans="1:7" s="98" customFormat="1" ht="15.75" customHeight="1">
      <c r="A266" s="97"/>
      <c r="B266" s="100"/>
      <c r="C266" s="111"/>
      <c r="D266" s="110"/>
      <c r="E266" s="110"/>
      <c r="F266" s="110"/>
      <c r="G266" s="261"/>
    </row>
    <row r="267" spans="2:7" s="98" customFormat="1" ht="15.75" customHeight="1" thickBot="1">
      <c r="B267" s="128"/>
      <c r="G267" s="237"/>
    </row>
    <row r="268" spans="1:7" s="98" customFormat="1" ht="15.75">
      <c r="A268" s="242" t="s">
        <v>25</v>
      </c>
      <c r="B268" s="243" t="s">
        <v>26</v>
      </c>
      <c r="C268" s="242" t="s">
        <v>28</v>
      </c>
      <c r="D268" s="242" t="s">
        <v>29</v>
      </c>
      <c r="E268" s="242" t="s">
        <v>29</v>
      </c>
      <c r="F268" s="208" t="s">
        <v>7</v>
      </c>
      <c r="G268" s="255" t="s">
        <v>303</v>
      </c>
    </row>
    <row r="269" spans="1:7" s="98" customFormat="1" ht="15.75" customHeight="1" thickBot="1">
      <c r="A269" s="244"/>
      <c r="B269" s="245"/>
      <c r="C269" s="246"/>
      <c r="D269" s="247" t="s">
        <v>31</v>
      </c>
      <c r="E269" s="247" t="s">
        <v>32</v>
      </c>
      <c r="F269" s="212" t="s">
        <v>33</v>
      </c>
      <c r="G269" s="256" t="s">
        <v>302</v>
      </c>
    </row>
    <row r="270" spans="1:7" s="98" customFormat="1" ht="16.5" thickTop="1">
      <c r="A270" s="122">
        <v>110</v>
      </c>
      <c r="B270" s="122"/>
      <c r="C270" s="127" t="s">
        <v>207</v>
      </c>
      <c r="D270" s="57"/>
      <c r="E270" s="57"/>
      <c r="F270" s="57"/>
      <c r="G270" s="262"/>
    </row>
    <row r="271" spans="1:7" s="98" customFormat="1" ht="15" customHeight="1">
      <c r="A271" s="69"/>
      <c r="B271" s="121"/>
      <c r="C271" s="69"/>
      <c r="D271" s="71"/>
      <c r="E271" s="71"/>
      <c r="F271" s="71"/>
      <c r="G271" s="258"/>
    </row>
    <row r="272" spans="1:7" s="98" customFormat="1" ht="15" customHeight="1">
      <c r="A272" s="36"/>
      <c r="B272" s="119">
        <v>6171</v>
      </c>
      <c r="C272" s="36" t="s">
        <v>321</v>
      </c>
      <c r="D272" s="71">
        <v>0</v>
      </c>
      <c r="E272" s="71">
        <v>0</v>
      </c>
      <c r="F272" s="120">
        <v>5</v>
      </c>
      <c r="G272" s="258" t="e">
        <f aca="true" t="shared" si="6" ref="G272:G277">(F272/E272)*100</f>
        <v>#DIV/0!</v>
      </c>
    </row>
    <row r="273" spans="1:7" s="98" customFormat="1" ht="15">
      <c r="A273" s="36"/>
      <c r="B273" s="119">
        <v>6310</v>
      </c>
      <c r="C273" s="36" t="s">
        <v>320</v>
      </c>
      <c r="D273" s="71">
        <v>1910</v>
      </c>
      <c r="E273" s="71">
        <v>2210</v>
      </c>
      <c r="F273" s="71">
        <v>912.7</v>
      </c>
      <c r="G273" s="258">
        <f t="shared" si="6"/>
        <v>41.29864253393665</v>
      </c>
    </row>
    <row r="274" spans="1:7" s="98" customFormat="1" ht="15">
      <c r="A274" s="36"/>
      <c r="B274" s="119">
        <v>6399</v>
      </c>
      <c r="C274" s="36" t="s">
        <v>319</v>
      </c>
      <c r="D274" s="71">
        <v>13411</v>
      </c>
      <c r="E274" s="71">
        <v>12536.2</v>
      </c>
      <c r="F274" s="71">
        <v>10600.4</v>
      </c>
      <c r="G274" s="258">
        <f t="shared" si="6"/>
        <v>84.55831910786362</v>
      </c>
    </row>
    <row r="275" spans="1:7" s="98" customFormat="1" ht="15">
      <c r="A275" s="36"/>
      <c r="B275" s="119">
        <v>6402</v>
      </c>
      <c r="C275" s="36" t="s">
        <v>318</v>
      </c>
      <c r="D275" s="71">
        <v>0</v>
      </c>
      <c r="E275" s="71">
        <v>981.2</v>
      </c>
      <c r="F275" s="71">
        <v>981.1</v>
      </c>
      <c r="G275" s="258">
        <f t="shared" si="6"/>
        <v>99.98980839788014</v>
      </c>
    </row>
    <row r="276" spans="1:7" s="98" customFormat="1" ht="15">
      <c r="A276" s="36"/>
      <c r="B276" s="119">
        <v>6409</v>
      </c>
      <c r="C276" s="36" t="s">
        <v>317</v>
      </c>
      <c r="D276" s="71">
        <v>0</v>
      </c>
      <c r="E276" s="71">
        <v>0</v>
      </c>
      <c r="F276" s="71">
        <v>5.2</v>
      </c>
      <c r="G276" s="258" t="e">
        <f t="shared" si="6"/>
        <v>#DIV/0!</v>
      </c>
    </row>
    <row r="277" spans="1:7" s="103" customFormat="1" ht="20.25" customHeight="1">
      <c r="A277" s="127"/>
      <c r="B277" s="122">
        <v>6409</v>
      </c>
      <c r="C277" s="127" t="s">
        <v>316</v>
      </c>
      <c r="D277" s="126">
        <v>0</v>
      </c>
      <c r="E277" s="126">
        <v>0</v>
      </c>
      <c r="F277" s="162">
        <v>0</v>
      </c>
      <c r="G277" s="258" t="e">
        <f t="shared" si="6"/>
        <v>#DIV/0!</v>
      </c>
    </row>
    <row r="278" spans="1:7" s="98" customFormat="1" ht="15.75" thickBot="1">
      <c r="A278" s="124"/>
      <c r="B278" s="125"/>
      <c r="C278" s="124"/>
      <c r="D278" s="116"/>
      <c r="E278" s="116"/>
      <c r="F278" s="116"/>
      <c r="G278" s="266"/>
    </row>
    <row r="279" spans="1:7" s="98" customFormat="1" ht="18.75" customHeight="1" thickBot="1" thickTop="1">
      <c r="A279" s="123"/>
      <c r="B279" s="114"/>
      <c r="C279" s="109" t="s">
        <v>315</v>
      </c>
      <c r="D279" s="113">
        <f>SUM(D271:D277)</f>
        <v>15321</v>
      </c>
      <c r="E279" s="113">
        <f>SUM(E271:E277)</f>
        <v>15727.400000000001</v>
      </c>
      <c r="F279" s="113">
        <f>SUM(F271:F277)</f>
        <v>12504.400000000001</v>
      </c>
      <c r="G279" s="260">
        <f>(F279/E279)*100</f>
        <v>79.50710225466383</v>
      </c>
    </row>
    <row r="280" spans="1:7" s="98" customFormat="1" ht="18.75" customHeight="1">
      <c r="A280" s="97"/>
      <c r="B280" s="100"/>
      <c r="C280" s="111"/>
      <c r="D280" s="110"/>
      <c r="E280" s="110"/>
      <c r="F280" s="110"/>
      <c r="G280" s="261"/>
    </row>
    <row r="281" spans="1:7" s="98" customFormat="1" ht="13.5" customHeight="1" hidden="1">
      <c r="A281" s="97"/>
      <c r="B281" s="100"/>
      <c r="C281" s="111"/>
      <c r="D281" s="110"/>
      <c r="E281" s="110"/>
      <c r="F281" s="110"/>
      <c r="G281" s="261"/>
    </row>
    <row r="282" spans="1:7" s="98" customFormat="1" ht="13.5" customHeight="1" hidden="1">
      <c r="A282" s="97"/>
      <c r="B282" s="100"/>
      <c r="C282" s="111"/>
      <c r="D282" s="110"/>
      <c r="E282" s="110"/>
      <c r="F282" s="110"/>
      <c r="G282" s="261"/>
    </row>
    <row r="283" spans="1:7" s="98" customFormat="1" ht="13.5" customHeight="1" hidden="1">
      <c r="A283" s="97"/>
      <c r="B283" s="100"/>
      <c r="C283" s="111"/>
      <c r="D283" s="110"/>
      <c r="E283" s="110"/>
      <c r="F283" s="110"/>
      <c r="G283" s="261"/>
    </row>
    <row r="284" spans="1:7" s="98" customFormat="1" ht="13.5" customHeight="1" hidden="1">
      <c r="A284" s="97"/>
      <c r="B284" s="100"/>
      <c r="C284" s="111"/>
      <c r="D284" s="110"/>
      <c r="E284" s="110"/>
      <c r="F284" s="110"/>
      <c r="G284" s="261"/>
    </row>
    <row r="285" spans="1:7" s="98" customFormat="1" ht="13.5" customHeight="1" hidden="1">
      <c r="A285" s="97"/>
      <c r="B285" s="100"/>
      <c r="C285" s="111"/>
      <c r="D285" s="110"/>
      <c r="E285" s="110"/>
      <c r="F285" s="110"/>
      <c r="G285" s="261"/>
    </row>
    <row r="286" spans="1:7" s="98" customFormat="1" ht="16.5" customHeight="1">
      <c r="A286" s="97"/>
      <c r="B286" s="100"/>
      <c r="C286" s="111"/>
      <c r="D286" s="110"/>
      <c r="E286" s="110"/>
      <c r="F286" s="110"/>
      <c r="G286" s="261"/>
    </row>
    <row r="287" spans="1:7" s="98" customFormat="1" ht="15.75" customHeight="1" thickBot="1">
      <c r="A287" s="97"/>
      <c r="B287" s="100"/>
      <c r="C287" s="111"/>
      <c r="D287" s="110"/>
      <c r="E287" s="110"/>
      <c r="F287" s="110"/>
      <c r="G287" s="261"/>
    </row>
    <row r="288" spans="1:7" s="98" customFormat="1" ht="15.75">
      <c r="A288" s="242" t="s">
        <v>25</v>
      </c>
      <c r="B288" s="243" t="s">
        <v>26</v>
      </c>
      <c r="C288" s="242" t="s">
        <v>28</v>
      </c>
      <c r="D288" s="242" t="s">
        <v>29</v>
      </c>
      <c r="E288" s="242" t="s">
        <v>29</v>
      </c>
      <c r="F288" s="208" t="s">
        <v>7</v>
      </c>
      <c r="G288" s="255" t="s">
        <v>303</v>
      </c>
    </row>
    <row r="289" spans="1:7" s="98" customFormat="1" ht="15.75" customHeight="1" thickBot="1">
      <c r="A289" s="244"/>
      <c r="B289" s="245"/>
      <c r="C289" s="246"/>
      <c r="D289" s="247" t="s">
        <v>31</v>
      </c>
      <c r="E289" s="247" t="s">
        <v>32</v>
      </c>
      <c r="F289" s="212" t="s">
        <v>33</v>
      </c>
      <c r="G289" s="256" t="s">
        <v>302</v>
      </c>
    </row>
    <row r="290" spans="1:7" s="98" customFormat="1" ht="16.5" thickTop="1">
      <c r="A290" s="122">
        <v>120</v>
      </c>
      <c r="B290" s="122"/>
      <c r="C290" s="54" t="s">
        <v>234</v>
      </c>
      <c r="D290" s="57"/>
      <c r="E290" s="57"/>
      <c r="F290" s="57"/>
      <c r="G290" s="262"/>
    </row>
    <row r="291" spans="1:7" s="98" customFormat="1" ht="15" customHeight="1">
      <c r="A291" s="69"/>
      <c r="B291" s="121"/>
      <c r="C291" s="54"/>
      <c r="D291" s="71"/>
      <c r="E291" s="71"/>
      <c r="F291" s="71"/>
      <c r="G291" s="258"/>
    </row>
    <row r="292" spans="1:7" s="98" customFormat="1" ht="15" customHeight="1">
      <c r="A292" s="69"/>
      <c r="B292" s="121"/>
      <c r="C292" s="54"/>
      <c r="D292" s="120"/>
      <c r="E292" s="120"/>
      <c r="F292" s="120"/>
      <c r="G292" s="258"/>
    </row>
    <row r="293" spans="1:7" s="98" customFormat="1" ht="15.75">
      <c r="A293" s="69"/>
      <c r="B293" s="119">
        <v>2310</v>
      </c>
      <c r="C293" s="36" t="s">
        <v>314</v>
      </c>
      <c r="D293" s="120">
        <v>30</v>
      </c>
      <c r="E293" s="120">
        <v>30</v>
      </c>
      <c r="F293" s="120">
        <v>0</v>
      </c>
      <c r="G293" s="258">
        <f aca="true" t="shared" si="7" ref="G293:G302">(F293/E293)*100</f>
        <v>0</v>
      </c>
    </row>
    <row r="294" spans="1:7" s="98" customFormat="1" ht="15.75" customHeight="1" hidden="1">
      <c r="A294" s="69"/>
      <c r="B294" s="119">
        <v>2321</v>
      </c>
      <c r="C294" s="36" t="s">
        <v>313</v>
      </c>
      <c r="D294" s="120">
        <v>0</v>
      </c>
      <c r="E294" s="120"/>
      <c r="F294" s="120"/>
      <c r="G294" s="258" t="e">
        <f t="shared" si="7"/>
        <v>#DIV/0!</v>
      </c>
    </row>
    <row r="295" spans="1:7" s="98" customFormat="1" ht="15">
      <c r="A295" s="36"/>
      <c r="B295" s="119">
        <v>3612</v>
      </c>
      <c r="C295" s="36" t="s">
        <v>312</v>
      </c>
      <c r="D295" s="71">
        <v>11384</v>
      </c>
      <c r="E295" s="71">
        <v>11184.5</v>
      </c>
      <c r="F295" s="71">
        <v>5283.5</v>
      </c>
      <c r="G295" s="258">
        <f t="shared" si="7"/>
        <v>47.23948321337566</v>
      </c>
    </row>
    <row r="296" spans="1:7" s="98" customFormat="1" ht="15">
      <c r="A296" s="36"/>
      <c r="B296" s="119">
        <v>3613</v>
      </c>
      <c r="C296" s="36" t="s">
        <v>311</v>
      </c>
      <c r="D296" s="71">
        <v>7086</v>
      </c>
      <c r="E296" s="71">
        <v>7205</v>
      </c>
      <c r="F296" s="71">
        <v>3261.7</v>
      </c>
      <c r="G296" s="258">
        <f t="shared" si="7"/>
        <v>45.26995142262318</v>
      </c>
    </row>
    <row r="297" spans="1:7" s="98" customFormat="1" ht="15">
      <c r="A297" s="36"/>
      <c r="B297" s="119">
        <v>3632</v>
      </c>
      <c r="C297" s="36" t="s">
        <v>310</v>
      </c>
      <c r="D297" s="71">
        <v>792</v>
      </c>
      <c r="E297" s="71">
        <v>892</v>
      </c>
      <c r="F297" s="71">
        <v>279.9</v>
      </c>
      <c r="G297" s="258">
        <f t="shared" si="7"/>
        <v>31.37892376681614</v>
      </c>
    </row>
    <row r="298" spans="1:7" s="98" customFormat="1" ht="15">
      <c r="A298" s="36"/>
      <c r="B298" s="119">
        <v>3634</v>
      </c>
      <c r="C298" s="36" t="s">
        <v>309</v>
      </c>
      <c r="D298" s="71">
        <v>800</v>
      </c>
      <c r="E298" s="71">
        <v>800</v>
      </c>
      <c r="F298" s="71">
        <v>456.6</v>
      </c>
      <c r="G298" s="258">
        <f t="shared" si="7"/>
        <v>57.074999999999996</v>
      </c>
    </row>
    <row r="299" spans="1:7" s="98" customFormat="1" ht="15">
      <c r="A299" s="36"/>
      <c r="B299" s="119">
        <v>3639</v>
      </c>
      <c r="C299" s="36" t="s">
        <v>308</v>
      </c>
      <c r="D299" s="71">
        <f>12685.2-12112</f>
        <v>573.2000000000007</v>
      </c>
      <c r="E299" s="71">
        <f>15319.5-12302.8</f>
        <v>3016.7000000000007</v>
      </c>
      <c r="F299" s="71">
        <f>2192.2-1347.7</f>
        <v>844.4999999999998</v>
      </c>
      <c r="G299" s="258">
        <f t="shared" si="7"/>
        <v>27.994165810322524</v>
      </c>
    </row>
    <row r="300" spans="1:7" s="98" customFormat="1" ht="15" customHeight="1" hidden="1">
      <c r="A300" s="36"/>
      <c r="B300" s="119">
        <v>3639</v>
      </c>
      <c r="C300" s="36" t="s">
        <v>307</v>
      </c>
      <c r="D300" s="71">
        <v>0</v>
      </c>
      <c r="E300" s="71"/>
      <c r="F300" s="71"/>
      <c r="G300" s="258" t="e">
        <f t="shared" si="7"/>
        <v>#DIV/0!</v>
      </c>
    </row>
    <row r="301" spans="1:7" s="98" customFormat="1" ht="15">
      <c r="A301" s="36"/>
      <c r="B301" s="119">
        <v>3639</v>
      </c>
      <c r="C301" s="36" t="s">
        <v>306</v>
      </c>
      <c r="D301" s="71">
        <v>12112</v>
      </c>
      <c r="E301" s="71">
        <v>12319.6</v>
      </c>
      <c r="F301" s="71">
        <v>1347.7</v>
      </c>
      <c r="G301" s="258">
        <f t="shared" si="7"/>
        <v>10.939478554498523</v>
      </c>
    </row>
    <row r="302" spans="1:7" s="98" customFormat="1" ht="15">
      <c r="A302" s="36"/>
      <c r="B302" s="119">
        <v>3729</v>
      </c>
      <c r="C302" s="36" t="s">
        <v>305</v>
      </c>
      <c r="D302" s="71">
        <v>1</v>
      </c>
      <c r="E302" s="71">
        <v>1</v>
      </c>
      <c r="F302" s="71">
        <v>0.5</v>
      </c>
      <c r="G302" s="258">
        <f t="shared" si="7"/>
        <v>50</v>
      </c>
    </row>
    <row r="303" spans="1:7" s="98" customFormat="1" ht="15" customHeight="1" thickBot="1">
      <c r="A303" s="118"/>
      <c r="B303" s="118"/>
      <c r="C303" s="117"/>
      <c r="D303" s="116"/>
      <c r="E303" s="116"/>
      <c r="F303" s="116"/>
      <c r="G303" s="266"/>
    </row>
    <row r="304" spans="1:7" s="98" customFormat="1" ht="18.75" customHeight="1" thickBot="1" thickTop="1">
      <c r="A304" s="115"/>
      <c r="B304" s="114"/>
      <c r="C304" s="109" t="s">
        <v>304</v>
      </c>
      <c r="D304" s="113">
        <f>SUM(D293:D302)</f>
        <v>32778.2</v>
      </c>
      <c r="E304" s="113">
        <f>SUM(E293:E302)</f>
        <v>35448.8</v>
      </c>
      <c r="F304" s="113">
        <f>SUM(F293:F302)</f>
        <v>11474.400000000001</v>
      </c>
      <c r="G304" s="260">
        <f>(F304/E304)*100</f>
        <v>32.36893773555099</v>
      </c>
    </row>
    <row r="305" spans="1:7" s="98" customFormat="1" ht="15.75" customHeight="1">
      <c r="A305" s="97"/>
      <c r="B305" s="100"/>
      <c r="C305" s="111"/>
      <c r="D305" s="110"/>
      <c r="E305" s="110"/>
      <c r="F305" s="110"/>
      <c r="G305" s="261"/>
    </row>
    <row r="306" spans="1:7" s="98" customFormat="1" ht="15.75" customHeight="1">
      <c r="A306" s="97"/>
      <c r="B306" s="100"/>
      <c r="C306" s="111"/>
      <c r="D306" s="110"/>
      <c r="E306" s="110"/>
      <c r="F306" s="110"/>
      <c r="G306" s="261"/>
    </row>
    <row r="307" s="98" customFormat="1" ht="15.75" customHeight="1" thickBot="1">
      <c r="G307" s="237"/>
    </row>
    <row r="308" spans="1:7" s="98" customFormat="1" ht="15.75">
      <c r="A308" s="242" t="s">
        <v>25</v>
      </c>
      <c r="B308" s="243" t="s">
        <v>26</v>
      </c>
      <c r="C308" s="242" t="s">
        <v>28</v>
      </c>
      <c r="D308" s="242" t="s">
        <v>29</v>
      </c>
      <c r="E308" s="242" t="s">
        <v>29</v>
      </c>
      <c r="F308" s="208" t="s">
        <v>7</v>
      </c>
      <c r="G308" s="255" t="s">
        <v>303</v>
      </c>
    </row>
    <row r="309" spans="1:7" s="98" customFormat="1" ht="15.75" customHeight="1" thickBot="1">
      <c r="A309" s="244"/>
      <c r="B309" s="245"/>
      <c r="C309" s="246"/>
      <c r="D309" s="247" t="s">
        <v>31</v>
      </c>
      <c r="E309" s="247" t="s">
        <v>32</v>
      </c>
      <c r="F309" s="212" t="s">
        <v>33</v>
      </c>
      <c r="G309" s="256" t="s">
        <v>302</v>
      </c>
    </row>
    <row r="310" spans="1:7" s="98" customFormat="1" ht="38.25" customHeight="1" thickBot="1" thickTop="1">
      <c r="A310" s="109"/>
      <c r="B310" s="108"/>
      <c r="C310" s="107" t="s">
        <v>301</v>
      </c>
      <c r="D310" s="106">
        <f>SUM(D34,D132,D157,D188,D218,D236,D254,D264,D279,D304,)</f>
        <v>492538.5</v>
      </c>
      <c r="E310" s="106">
        <f>SUM(E34,E132,E157,E188,E218,E236,E254,E264,E279,E304)</f>
        <v>532939.7000000001</v>
      </c>
      <c r="F310" s="106">
        <f>SUM(F34,F132,F157,F188,F218,F236,F254,F264,F279,F304,)</f>
        <v>192344.1</v>
      </c>
      <c r="G310" s="267">
        <f>(F310/E310)*100</f>
        <v>36.09115627903119</v>
      </c>
    </row>
    <row r="311" spans="1:7" ht="15">
      <c r="A311" s="32"/>
      <c r="B311" s="32"/>
      <c r="C311" s="32"/>
      <c r="D311" s="32"/>
      <c r="E311" s="32"/>
      <c r="F311" s="32"/>
      <c r="G311" s="224"/>
    </row>
    <row r="312" spans="1:7" ht="15" customHeight="1">
      <c r="A312" s="32"/>
      <c r="B312" s="32"/>
      <c r="C312" s="32"/>
      <c r="D312" s="32"/>
      <c r="E312" s="32"/>
      <c r="F312" s="32"/>
      <c r="G312" s="224"/>
    </row>
    <row r="313" spans="1:7" ht="15" customHeight="1">
      <c r="A313" s="32"/>
      <c r="B313" s="32"/>
      <c r="C313" s="32"/>
      <c r="D313" s="32"/>
      <c r="E313" s="32"/>
      <c r="F313" s="32"/>
      <c r="G313" s="224"/>
    </row>
    <row r="314" spans="1:7" ht="15" customHeight="1">
      <c r="A314" s="32"/>
      <c r="B314" s="32"/>
      <c r="C314" s="32"/>
      <c r="D314" s="32"/>
      <c r="E314" s="32"/>
      <c r="F314" s="32"/>
      <c r="G314" s="224"/>
    </row>
    <row r="315" spans="1:7" ht="15">
      <c r="A315" s="32"/>
      <c r="B315" s="32"/>
      <c r="C315" s="32"/>
      <c r="D315" s="32"/>
      <c r="E315" s="32"/>
      <c r="F315" s="32"/>
      <c r="G315" s="224"/>
    </row>
    <row r="316" spans="1:7" ht="15">
      <c r="A316" s="32"/>
      <c r="B316" s="32"/>
      <c r="C316" s="32"/>
      <c r="D316" s="32"/>
      <c r="E316" s="32"/>
      <c r="F316" s="32"/>
      <c r="G316" s="224"/>
    </row>
    <row r="317" spans="1:7" ht="15">
      <c r="A317" s="32"/>
      <c r="B317" s="32"/>
      <c r="C317" s="33"/>
      <c r="D317" s="32"/>
      <c r="E317" s="32"/>
      <c r="F317" s="32"/>
      <c r="G317" s="224"/>
    </row>
    <row r="318" spans="1:7" ht="15">
      <c r="A318" s="32"/>
      <c r="B318" s="32"/>
      <c r="C318" s="32"/>
      <c r="D318" s="32"/>
      <c r="E318" s="32"/>
      <c r="F318" s="32"/>
      <c r="G318" s="224"/>
    </row>
    <row r="319" spans="1:7" ht="15">
      <c r="A319" s="32"/>
      <c r="B319" s="32"/>
      <c r="C319" s="32"/>
      <c r="D319" s="32"/>
      <c r="E319" s="32"/>
      <c r="F319" s="32"/>
      <c r="G319" s="224"/>
    </row>
    <row r="320" spans="1:7" ht="15">
      <c r="A320" s="32"/>
      <c r="B320" s="32"/>
      <c r="C320" s="32"/>
      <c r="D320" s="32"/>
      <c r="E320" s="32"/>
      <c r="F320" s="32"/>
      <c r="G320" s="224"/>
    </row>
    <row r="321" spans="1:7" ht="15">
      <c r="A321" s="32"/>
      <c r="B321" s="32"/>
      <c r="C321" s="32"/>
      <c r="D321" s="32"/>
      <c r="E321" s="32"/>
      <c r="F321" s="32"/>
      <c r="G321" s="224"/>
    </row>
    <row r="322" spans="1:7" ht="15">
      <c r="A322" s="32"/>
      <c r="B322" s="32"/>
      <c r="C322" s="32"/>
      <c r="D322" s="32"/>
      <c r="E322" s="32"/>
      <c r="F322" s="32"/>
      <c r="G322" s="224"/>
    </row>
    <row r="323" spans="1:7" ht="15">
      <c r="A323" s="32"/>
      <c r="B323" s="32"/>
      <c r="C323" s="32"/>
      <c r="D323" s="32"/>
      <c r="E323" s="32"/>
      <c r="F323" s="32"/>
      <c r="G323" s="224"/>
    </row>
    <row r="324" spans="1:7" ht="15">
      <c r="A324" s="32"/>
      <c r="B324" s="32"/>
      <c r="C324" s="32"/>
      <c r="D324" s="32"/>
      <c r="E324" s="32"/>
      <c r="F324" s="32"/>
      <c r="G324" s="224"/>
    </row>
    <row r="325" spans="1:7" ht="15">
      <c r="A325" s="32"/>
      <c r="B325" s="32"/>
      <c r="C325" s="32"/>
      <c r="D325" s="32"/>
      <c r="E325" s="32"/>
      <c r="F325" s="32"/>
      <c r="G325" s="224"/>
    </row>
    <row r="326" spans="1:7" ht="15">
      <c r="A326" s="32"/>
      <c r="B326" s="32"/>
      <c r="C326" s="32"/>
      <c r="D326" s="32"/>
      <c r="E326" s="32"/>
      <c r="F326" s="32"/>
      <c r="G326" s="224"/>
    </row>
    <row r="327" spans="1:7" ht="15">
      <c r="A327" s="32"/>
      <c r="B327" s="32"/>
      <c r="C327" s="32"/>
      <c r="D327" s="32"/>
      <c r="E327" s="32"/>
      <c r="F327" s="32"/>
      <c r="G327" s="224"/>
    </row>
    <row r="328" spans="1:7" ht="15">
      <c r="A328" s="32"/>
      <c r="B328" s="32"/>
      <c r="C328" s="32"/>
      <c r="D328" s="32"/>
      <c r="E328" s="32"/>
      <c r="F328" s="32"/>
      <c r="G328" s="224"/>
    </row>
    <row r="329" spans="1:7" ht="15">
      <c r="A329" s="32"/>
      <c r="B329" s="32"/>
      <c r="C329" s="32"/>
      <c r="D329" s="32"/>
      <c r="E329" s="32"/>
      <c r="F329" s="32"/>
      <c r="G329" s="224"/>
    </row>
    <row r="330" spans="1:7" ht="15">
      <c r="A330" s="32"/>
      <c r="B330" s="32"/>
      <c r="C330" s="32"/>
      <c r="D330" s="32"/>
      <c r="E330" s="32"/>
      <c r="F330" s="32"/>
      <c r="G330" s="224"/>
    </row>
    <row r="331" spans="1:7" ht="15">
      <c r="A331" s="32"/>
      <c r="B331" s="32"/>
      <c r="C331" s="32"/>
      <c r="D331" s="32"/>
      <c r="E331" s="32"/>
      <c r="F331" s="32"/>
      <c r="G331" s="224"/>
    </row>
  </sheetData>
  <sheetProtection/>
  <printOptions/>
  <pageMargins left="0.47" right="0.12" top="0.2755905511811024" bottom="0.4724409448818898" header="0.31496062992125984" footer="0.3543307086614173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5"/>
  <sheetViews>
    <sheetView zoomScalePageLayoutView="0" workbookViewId="0" topLeftCell="A1">
      <selection activeCell="G71" sqref="G71"/>
    </sheetView>
  </sheetViews>
  <sheetFormatPr defaultColWidth="9.140625" defaultRowHeight="12.75"/>
  <cols>
    <col min="1" max="1" width="5.28125" style="0" customWidth="1"/>
    <col min="2" max="2" width="75.00390625" style="0" customWidth="1"/>
    <col min="3" max="3" width="12.7109375" style="0" hidden="1" customWidth="1"/>
    <col min="4" max="4" width="11.421875" style="0" hidden="1" customWidth="1"/>
    <col min="5" max="5" width="9.28125" style="0" hidden="1" customWidth="1"/>
    <col min="6" max="6" width="1.28515625" style="0" customWidth="1"/>
    <col min="7" max="7" width="10.57421875" style="0" customWidth="1"/>
    <col min="8" max="9" width="10.140625" style="0" bestFit="1" customWidth="1"/>
    <col min="10" max="10" width="10.140625" style="279" bestFit="1" customWidth="1"/>
    <col min="11" max="11" width="10.00390625" style="0" customWidth="1"/>
    <col min="12" max="12" width="10.140625" style="0" customWidth="1"/>
  </cols>
  <sheetData>
    <row r="2" spans="2:12" ht="15.75">
      <c r="B2" s="268" t="s">
        <v>481</v>
      </c>
      <c r="G2" s="269"/>
      <c r="H2" s="270"/>
      <c r="I2" s="270"/>
      <c r="J2" s="271"/>
      <c r="K2" s="312" t="s">
        <v>482</v>
      </c>
      <c r="L2" s="313"/>
    </row>
    <row r="3" spans="1:12" ht="33.75" customHeight="1">
      <c r="A3" s="272" t="s">
        <v>607</v>
      </c>
      <c r="B3" s="140" t="s">
        <v>674</v>
      </c>
      <c r="C3" s="161">
        <v>6500</v>
      </c>
      <c r="D3" s="161">
        <v>6270.2</v>
      </c>
      <c r="E3" s="161">
        <v>65.3</v>
      </c>
      <c r="F3" s="272"/>
      <c r="G3" s="273" t="s">
        <v>483</v>
      </c>
      <c r="H3" s="273" t="s">
        <v>484</v>
      </c>
      <c r="I3" s="273" t="s">
        <v>485</v>
      </c>
      <c r="J3" s="273" t="s">
        <v>486</v>
      </c>
      <c r="K3" s="274" t="s">
        <v>290</v>
      </c>
      <c r="L3" s="275" t="s">
        <v>487</v>
      </c>
    </row>
    <row r="4" spans="1:12" ht="15.75">
      <c r="A4" s="324" t="s">
        <v>608</v>
      </c>
      <c r="B4" s="145" t="s">
        <v>488</v>
      </c>
      <c r="C4" s="161">
        <v>6500</v>
      </c>
      <c r="D4" s="161">
        <v>6270.2</v>
      </c>
      <c r="E4" s="161">
        <v>65.3</v>
      </c>
      <c r="F4" s="272"/>
      <c r="G4" s="161">
        <v>6270</v>
      </c>
      <c r="H4" s="161">
        <v>0</v>
      </c>
      <c r="I4" s="161">
        <v>0</v>
      </c>
      <c r="J4" s="276">
        <f>SUM(G4:I4)</f>
        <v>6270</v>
      </c>
      <c r="K4" s="161">
        <v>0</v>
      </c>
      <c r="L4" s="161">
        <f>+J4-K4</f>
        <v>6270</v>
      </c>
    </row>
    <row r="5" spans="1:12" ht="15.75">
      <c r="A5" s="324" t="s">
        <v>609</v>
      </c>
      <c r="B5" s="72" t="s">
        <v>489</v>
      </c>
      <c r="C5" s="161">
        <v>5767</v>
      </c>
      <c r="D5" s="161">
        <v>3203.4</v>
      </c>
      <c r="E5" s="161">
        <v>50.4</v>
      </c>
      <c r="F5" s="272"/>
      <c r="G5" s="161">
        <v>3203</v>
      </c>
      <c r="H5" s="161">
        <v>0</v>
      </c>
      <c r="I5" s="161">
        <v>0</v>
      </c>
      <c r="J5" s="276">
        <f aca="true" t="shared" si="0" ref="J5:J69">SUM(G5:I5)</f>
        <v>3203</v>
      </c>
      <c r="K5" s="161">
        <v>0</v>
      </c>
      <c r="L5" s="161">
        <f aca="true" t="shared" si="1" ref="L5:L69">+J5-K5</f>
        <v>3203</v>
      </c>
    </row>
    <row r="6" spans="1:12" ht="15.75">
      <c r="A6" s="324" t="s">
        <v>615</v>
      </c>
      <c r="B6" s="72" t="s">
        <v>413</v>
      </c>
      <c r="C6" s="161">
        <v>0</v>
      </c>
      <c r="D6" s="161">
        <v>3000</v>
      </c>
      <c r="E6" s="161">
        <v>0</v>
      </c>
      <c r="F6" s="272"/>
      <c r="G6" s="161">
        <v>3000</v>
      </c>
      <c r="H6" s="161">
        <v>0</v>
      </c>
      <c r="I6" s="161">
        <v>0</v>
      </c>
      <c r="J6" s="276">
        <f t="shared" si="0"/>
        <v>3000</v>
      </c>
      <c r="K6" s="161">
        <v>1500</v>
      </c>
      <c r="L6" s="161">
        <f t="shared" si="1"/>
        <v>1500</v>
      </c>
    </row>
    <row r="7" spans="1:12" ht="15.75">
      <c r="A7" s="324" t="s">
        <v>616</v>
      </c>
      <c r="B7" s="72" t="s">
        <v>412</v>
      </c>
      <c r="C7" s="161">
        <v>0</v>
      </c>
      <c r="D7" s="161">
        <v>3388</v>
      </c>
      <c r="E7" s="161">
        <v>5</v>
      </c>
      <c r="F7" s="272"/>
      <c r="G7" s="161">
        <v>3388</v>
      </c>
      <c r="H7" s="161">
        <v>0</v>
      </c>
      <c r="I7" s="161">
        <v>0</v>
      </c>
      <c r="J7" s="276">
        <f t="shared" si="0"/>
        <v>3388</v>
      </c>
      <c r="K7" s="161">
        <v>0</v>
      </c>
      <c r="L7" s="161">
        <f t="shared" si="1"/>
        <v>3388</v>
      </c>
    </row>
    <row r="8" spans="1:12" ht="15.75">
      <c r="A8" s="324" t="s">
        <v>617</v>
      </c>
      <c r="B8" s="72" t="s">
        <v>490</v>
      </c>
      <c r="C8" s="161">
        <v>0</v>
      </c>
      <c r="D8" s="161">
        <v>1186</v>
      </c>
      <c r="E8" s="161">
        <v>0</v>
      </c>
      <c r="F8" s="272"/>
      <c r="G8" s="161">
        <v>1186</v>
      </c>
      <c r="H8" s="161">
        <v>0</v>
      </c>
      <c r="I8" s="161">
        <v>0</v>
      </c>
      <c r="J8" s="276">
        <f t="shared" si="0"/>
        <v>1186</v>
      </c>
      <c r="K8" s="161">
        <v>0</v>
      </c>
      <c r="L8" s="161">
        <f t="shared" si="1"/>
        <v>1186</v>
      </c>
    </row>
    <row r="9" spans="1:12" ht="15.75">
      <c r="A9" s="324" t="s">
        <v>618</v>
      </c>
      <c r="B9" s="72" t="s">
        <v>411</v>
      </c>
      <c r="C9" s="161">
        <v>0</v>
      </c>
      <c r="D9" s="161">
        <v>7349</v>
      </c>
      <c r="E9" s="161">
        <v>56.6</v>
      </c>
      <c r="F9" s="272"/>
      <c r="G9" s="161">
        <v>3000</v>
      </c>
      <c r="H9" s="161">
        <v>4349</v>
      </c>
      <c r="I9" s="161">
        <v>0</v>
      </c>
      <c r="J9" s="276">
        <f t="shared" si="0"/>
        <v>7349</v>
      </c>
      <c r="K9" s="161">
        <v>3541</v>
      </c>
      <c r="L9" s="161">
        <f t="shared" si="1"/>
        <v>3808</v>
      </c>
    </row>
    <row r="10" spans="1:12" ht="15.75">
      <c r="A10" s="324" t="s">
        <v>619</v>
      </c>
      <c r="B10" s="72" t="s">
        <v>410</v>
      </c>
      <c r="C10" s="161">
        <v>0</v>
      </c>
      <c r="D10" s="161">
        <v>523</v>
      </c>
      <c r="E10" s="161">
        <v>518.5</v>
      </c>
      <c r="F10" s="272"/>
      <c r="G10" s="161">
        <v>523</v>
      </c>
      <c r="H10" s="161">
        <v>0</v>
      </c>
      <c r="I10" s="161">
        <v>0</v>
      </c>
      <c r="J10" s="276">
        <f t="shared" si="0"/>
        <v>523</v>
      </c>
      <c r="K10" s="161">
        <v>0</v>
      </c>
      <c r="L10" s="161">
        <f t="shared" si="1"/>
        <v>523</v>
      </c>
    </row>
    <row r="11" spans="1:12" ht="15.75">
      <c r="A11" s="324" t="s">
        <v>620</v>
      </c>
      <c r="B11" s="160" t="s">
        <v>409</v>
      </c>
      <c r="C11" s="161">
        <v>0</v>
      </c>
      <c r="D11" s="161">
        <v>154.1</v>
      </c>
      <c r="E11" s="161">
        <v>154.1</v>
      </c>
      <c r="F11" s="272"/>
      <c r="G11" s="161">
        <v>154</v>
      </c>
      <c r="H11" s="161">
        <v>0</v>
      </c>
      <c r="I11" s="161">
        <v>0</v>
      </c>
      <c r="J11" s="276">
        <f t="shared" si="0"/>
        <v>154</v>
      </c>
      <c r="K11" s="161">
        <v>0</v>
      </c>
      <c r="L11" s="161">
        <f t="shared" si="1"/>
        <v>154</v>
      </c>
    </row>
    <row r="12" spans="1:12" ht="15.75">
      <c r="A12" s="324" t="s">
        <v>621</v>
      </c>
      <c r="B12" s="160" t="s">
        <v>491</v>
      </c>
      <c r="C12" s="161">
        <v>992</v>
      </c>
      <c r="D12" s="161">
        <v>1430</v>
      </c>
      <c r="E12" s="161">
        <v>321.6</v>
      </c>
      <c r="F12" s="272"/>
      <c r="G12" s="161">
        <v>1430</v>
      </c>
      <c r="H12" s="161">
        <v>0</v>
      </c>
      <c r="I12" s="161">
        <v>0</v>
      </c>
      <c r="J12" s="276">
        <f t="shared" si="0"/>
        <v>1430</v>
      </c>
      <c r="K12" s="161">
        <v>115</v>
      </c>
      <c r="L12" s="161">
        <f t="shared" si="1"/>
        <v>1315</v>
      </c>
    </row>
    <row r="13" spans="1:12" ht="15.75">
      <c r="A13" s="324" t="s">
        <v>622</v>
      </c>
      <c r="B13" s="160" t="s">
        <v>407</v>
      </c>
      <c r="C13" s="161">
        <v>1036</v>
      </c>
      <c r="D13" s="161">
        <v>1036</v>
      </c>
      <c r="E13" s="161">
        <v>0</v>
      </c>
      <c r="F13" s="272"/>
      <c r="G13" s="161">
        <v>1036</v>
      </c>
      <c r="H13" s="161">
        <v>0</v>
      </c>
      <c r="I13" s="161">
        <v>0</v>
      </c>
      <c r="J13" s="276">
        <f t="shared" si="0"/>
        <v>1036</v>
      </c>
      <c r="K13" s="161">
        <v>0</v>
      </c>
      <c r="L13" s="161">
        <f t="shared" si="1"/>
        <v>1036</v>
      </c>
    </row>
    <row r="14" spans="1:12" ht="15.75">
      <c r="A14" s="324" t="s">
        <v>623</v>
      </c>
      <c r="B14" s="72" t="s">
        <v>406</v>
      </c>
      <c r="C14" s="161">
        <v>3000</v>
      </c>
      <c r="D14" s="161">
        <v>3000</v>
      </c>
      <c r="E14" s="161">
        <v>0</v>
      </c>
      <c r="F14" s="272"/>
      <c r="G14" s="161">
        <v>3000</v>
      </c>
      <c r="H14" s="161">
        <v>0</v>
      </c>
      <c r="I14" s="161">
        <v>0</v>
      </c>
      <c r="J14" s="276">
        <f t="shared" si="0"/>
        <v>3000</v>
      </c>
      <c r="K14" s="161">
        <v>0</v>
      </c>
      <c r="L14" s="161">
        <f t="shared" si="1"/>
        <v>3000</v>
      </c>
    </row>
    <row r="15" spans="1:12" ht="15.75">
      <c r="A15" s="324" t="s">
        <v>624</v>
      </c>
      <c r="B15" s="72" t="s">
        <v>492</v>
      </c>
      <c r="C15" s="161">
        <v>2000</v>
      </c>
      <c r="D15" s="161">
        <v>2000</v>
      </c>
      <c r="E15" s="161">
        <v>48</v>
      </c>
      <c r="F15" s="272"/>
      <c r="G15" s="161">
        <v>2000</v>
      </c>
      <c r="H15" s="161">
        <v>0</v>
      </c>
      <c r="I15" s="161">
        <v>0</v>
      </c>
      <c r="J15" s="276">
        <f t="shared" si="0"/>
        <v>2000</v>
      </c>
      <c r="K15" s="161">
        <v>0</v>
      </c>
      <c r="L15" s="161">
        <f t="shared" si="1"/>
        <v>2000</v>
      </c>
    </row>
    <row r="16" spans="1:12" ht="15.75">
      <c r="A16" s="324" t="s">
        <v>610</v>
      </c>
      <c r="B16" s="160" t="s">
        <v>404</v>
      </c>
      <c r="C16" s="161">
        <v>811</v>
      </c>
      <c r="D16" s="161">
        <v>811</v>
      </c>
      <c r="E16" s="161">
        <v>0</v>
      </c>
      <c r="F16" s="272"/>
      <c r="G16" s="161">
        <v>811</v>
      </c>
      <c r="H16" s="161">
        <v>0</v>
      </c>
      <c r="I16" s="161">
        <v>0</v>
      </c>
      <c r="J16" s="276">
        <f t="shared" si="0"/>
        <v>811</v>
      </c>
      <c r="K16" s="161">
        <v>0</v>
      </c>
      <c r="L16" s="161">
        <f t="shared" si="1"/>
        <v>811</v>
      </c>
    </row>
    <row r="17" spans="1:12" ht="15.75">
      <c r="A17" s="324" t="s">
        <v>611</v>
      </c>
      <c r="B17" s="72" t="s">
        <v>403</v>
      </c>
      <c r="C17" s="161">
        <v>0</v>
      </c>
      <c r="D17" s="161">
        <v>3353</v>
      </c>
      <c r="E17" s="161">
        <v>25.1</v>
      </c>
      <c r="F17" s="272"/>
      <c r="G17" s="161">
        <v>4560</v>
      </c>
      <c r="H17" s="161">
        <v>0</v>
      </c>
      <c r="I17" s="161">
        <v>0</v>
      </c>
      <c r="J17" s="276">
        <f t="shared" si="0"/>
        <v>4560</v>
      </c>
      <c r="K17" s="161">
        <v>2873</v>
      </c>
      <c r="L17" s="161">
        <f t="shared" si="1"/>
        <v>1687</v>
      </c>
    </row>
    <row r="18" spans="1:12" ht="15.75">
      <c r="A18" s="324" t="s">
        <v>612</v>
      </c>
      <c r="B18" s="72" t="s">
        <v>402</v>
      </c>
      <c r="C18" s="161">
        <v>0</v>
      </c>
      <c r="D18" s="161">
        <v>853</v>
      </c>
      <c r="E18" s="161">
        <v>0</v>
      </c>
      <c r="F18" s="272"/>
      <c r="G18" s="161">
        <v>835</v>
      </c>
      <c r="H18" s="161">
        <v>0</v>
      </c>
      <c r="I18" s="161">
        <v>0</v>
      </c>
      <c r="J18" s="276">
        <f t="shared" si="0"/>
        <v>835</v>
      </c>
      <c r="K18" s="161">
        <v>0</v>
      </c>
      <c r="L18" s="161">
        <f t="shared" si="1"/>
        <v>835</v>
      </c>
    </row>
    <row r="19" spans="1:12" ht="15.75">
      <c r="A19" s="324" t="s">
        <v>613</v>
      </c>
      <c r="B19" s="72" t="s">
        <v>401</v>
      </c>
      <c r="C19" s="161">
        <v>0</v>
      </c>
      <c r="D19" s="161">
        <v>5500</v>
      </c>
      <c r="E19" s="161">
        <v>23.7</v>
      </c>
      <c r="F19" s="272"/>
      <c r="G19" s="161">
        <v>3374</v>
      </c>
      <c r="H19" s="161">
        <v>0</v>
      </c>
      <c r="I19" s="161">
        <v>0</v>
      </c>
      <c r="J19" s="276">
        <f t="shared" si="0"/>
        <v>3374</v>
      </c>
      <c r="K19" s="161">
        <v>2184</v>
      </c>
      <c r="L19" s="161">
        <f t="shared" si="1"/>
        <v>1190</v>
      </c>
    </row>
    <row r="20" spans="1:12" ht="15.75">
      <c r="A20" s="324" t="s">
        <v>614</v>
      </c>
      <c r="B20" s="72" t="s">
        <v>400</v>
      </c>
      <c r="C20" s="161">
        <v>2500</v>
      </c>
      <c r="D20" s="161">
        <v>2500</v>
      </c>
      <c r="E20" s="161">
        <v>0</v>
      </c>
      <c r="F20" s="272"/>
      <c r="G20" s="161">
        <v>2500</v>
      </c>
      <c r="H20" s="161">
        <v>0</v>
      </c>
      <c r="I20" s="161">
        <v>0</v>
      </c>
      <c r="J20" s="276">
        <f t="shared" si="0"/>
        <v>2500</v>
      </c>
      <c r="K20" s="161">
        <v>2125</v>
      </c>
      <c r="L20" s="161">
        <f t="shared" si="1"/>
        <v>375</v>
      </c>
    </row>
    <row r="21" spans="1:12" ht="15.75">
      <c r="A21" s="324" t="s">
        <v>625</v>
      </c>
      <c r="B21" s="55" t="s">
        <v>399</v>
      </c>
      <c r="C21" s="161">
        <v>41700</v>
      </c>
      <c r="D21" s="161">
        <f>53.8+26695.4</f>
        <v>26749.2</v>
      </c>
      <c r="E21" s="161">
        <f>0+378.8</f>
        <v>378.8</v>
      </c>
      <c r="F21" s="272"/>
      <c r="G21" s="161">
        <v>27000</v>
      </c>
      <c r="H21" s="161">
        <v>17000</v>
      </c>
      <c r="I21" s="161">
        <v>0</v>
      </c>
      <c r="J21" s="276">
        <f t="shared" si="0"/>
        <v>44000</v>
      </c>
      <c r="K21" s="161">
        <v>29996</v>
      </c>
      <c r="L21" s="161">
        <f t="shared" si="1"/>
        <v>14004</v>
      </c>
    </row>
    <row r="22" spans="1:12" ht="15.75">
      <c r="A22" s="324" t="s">
        <v>626</v>
      </c>
      <c r="B22" s="72" t="s">
        <v>398</v>
      </c>
      <c r="C22" s="161">
        <v>23650</v>
      </c>
      <c r="D22" s="161">
        <f>148.2+23.7+16707</f>
        <v>16878.9</v>
      </c>
      <c r="E22" s="161">
        <f>104.4+23.7+69.7</f>
        <v>197.8</v>
      </c>
      <c r="F22" s="272"/>
      <c r="G22" s="161">
        <v>15000</v>
      </c>
      <c r="H22" s="161">
        <v>0</v>
      </c>
      <c r="I22" s="161">
        <v>0</v>
      </c>
      <c r="J22" s="276">
        <f t="shared" si="0"/>
        <v>15000</v>
      </c>
      <c r="K22" s="161">
        <v>0</v>
      </c>
      <c r="L22" s="161">
        <f t="shared" si="1"/>
        <v>15000</v>
      </c>
    </row>
    <row r="23" spans="1:12" ht="15.75">
      <c r="A23" s="324" t="s">
        <v>627</v>
      </c>
      <c r="B23" s="72" t="s">
        <v>606</v>
      </c>
      <c r="C23" s="161"/>
      <c r="D23" s="161"/>
      <c r="E23" s="161"/>
      <c r="F23" s="272"/>
      <c r="G23" s="161">
        <v>1794</v>
      </c>
      <c r="H23" s="161">
        <v>0</v>
      </c>
      <c r="I23" s="161">
        <v>0</v>
      </c>
      <c r="J23" s="276">
        <f t="shared" si="0"/>
        <v>1794</v>
      </c>
      <c r="K23" s="161">
        <v>0</v>
      </c>
      <c r="L23" s="161">
        <f t="shared" si="1"/>
        <v>1794</v>
      </c>
    </row>
    <row r="24" spans="1:12" ht="15.75">
      <c r="A24" s="324" t="s">
        <v>628</v>
      </c>
      <c r="B24" s="72" t="s">
        <v>397</v>
      </c>
      <c r="C24" s="161">
        <v>727</v>
      </c>
      <c r="D24" s="161">
        <v>727</v>
      </c>
      <c r="E24" s="161">
        <v>36.3</v>
      </c>
      <c r="F24" s="272"/>
      <c r="G24" s="161">
        <v>727</v>
      </c>
      <c r="H24" s="161">
        <v>0</v>
      </c>
      <c r="I24" s="161">
        <v>0</v>
      </c>
      <c r="J24" s="276">
        <f t="shared" si="0"/>
        <v>727</v>
      </c>
      <c r="K24" s="161">
        <v>35</v>
      </c>
      <c r="L24" s="161">
        <f t="shared" si="1"/>
        <v>692</v>
      </c>
    </row>
    <row r="25" spans="1:12" ht="15.75">
      <c r="A25" s="324" t="s">
        <v>629</v>
      </c>
      <c r="B25" s="72" t="s">
        <v>396</v>
      </c>
      <c r="C25" s="161">
        <v>1831</v>
      </c>
      <c r="D25" s="161">
        <v>1831</v>
      </c>
      <c r="E25" s="161">
        <v>73.8</v>
      </c>
      <c r="F25" s="272"/>
      <c r="G25" s="161">
        <v>1442</v>
      </c>
      <c r="H25" s="161">
        <v>0</v>
      </c>
      <c r="I25" s="161">
        <v>0</v>
      </c>
      <c r="J25" s="276">
        <f t="shared" si="0"/>
        <v>1442</v>
      </c>
      <c r="K25" s="161">
        <v>768</v>
      </c>
      <c r="L25" s="161">
        <f t="shared" si="1"/>
        <v>674</v>
      </c>
    </row>
    <row r="26" spans="1:12" ht="15.75">
      <c r="A26" s="324" t="s">
        <v>630</v>
      </c>
      <c r="B26" s="72" t="s">
        <v>395</v>
      </c>
      <c r="C26" s="161">
        <v>8490</v>
      </c>
      <c r="D26" s="161">
        <v>8490</v>
      </c>
      <c r="E26" s="161">
        <v>96.5</v>
      </c>
      <c r="F26" s="272"/>
      <c r="G26" s="161">
        <v>4800</v>
      </c>
      <c r="H26" s="161">
        <v>0</v>
      </c>
      <c r="I26" s="161">
        <v>0</v>
      </c>
      <c r="J26" s="276">
        <f t="shared" si="0"/>
        <v>4800</v>
      </c>
      <c r="K26" s="161">
        <v>1981</v>
      </c>
      <c r="L26" s="161">
        <f t="shared" si="1"/>
        <v>2819</v>
      </c>
    </row>
    <row r="27" spans="1:12" ht="15.75">
      <c r="A27" s="324" t="s">
        <v>631</v>
      </c>
      <c r="B27" s="72" t="s">
        <v>394</v>
      </c>
      <c r="C27" s="161">
        <v>0</v>
      </c>
      <c r="D27" s="161">
        <v>4119</v>
      </c>
      <c r="E27" s="161">
        <v>0</v>
      </c>
      <c r="F27" s="272"/>
      <c r="G27" s="161">
        <v>2812</v>
      </c>
      <c r="H27" s="161">
        <v>0</v>
      </c>
      <c r="I27" s="161">
        <v>0</v>
      </c>
      <c r="J27" s="276">
        <f t="shared" si="0"/>
        <v>2812</v>
      </c>
      <c r="K27" s="161">
        <v>1200</v>
      </c>
      <c r="L27" s="161">
        <f t="shared" si="1"/>
        <v>1612</v>
      </c>
    </row>
    <row r="28" spans="1:12" ht="15.75">
      <c r="A28" s="324" t="s">
        <v>632</v>
      </c>
      <c r="B28" s="72" t="s">
        <v>393</v>
      </c>
      <c r="C28" s="161">
        <v>0</v>
      </c>
      <c r="D28" s="161">
        <v>1500</v>
      </c>
      <c r="E28" s="161">
        <v>0</v>
      </c>
      <c r="F28" s="272"/>
      <c r="G28" s="161">
        <v>1500</v>
      </c>
      <c r="H28" s="161">
        <v>0</v>
      </c>
      <c r="I28" s="161">
        <v>0</v>
      </c>
      <c r="J28" s="276">
        <f t="shared" si="0"/>
        <v>1500</v>
      </c>
      <c r="K28" s="161">
        <v>0</v>
      </c>
      <c r="L28" s="161">
        <f t="shared" si="1"/>
        <v>1500</v>
      </c>
    </row>
    <row r="29" spans="1:12" ht="15.75">
      <c r="A29" s="324" t="s">
        <v>633</v>
      </c>
      <c r="B29" s="72" t="s">
        <v>392</v>
      </c>
      <c r="C29" s="161">
        <v>11824</v>
      </c>
      <c r="D29" s="161">
        <v>11824</v>
      </c>
      <c r="E29" s="277">
        <v>114.1</v>
      </c>
      <c r="F29" s="272"/>
      <c r="G29" s="277">
        <v>7025</v>
      </c>
      <c r="H29" s="277">
        <v>0</v>
      </c>
      <c r="I29" s="277">
        <v>0</v>
      </c>
      <c r="J29" s="276">
        <f t="shared" si="0"/>
        <v>7025</v>
      </c>
      <c r="K29" s="277">
        <v>3552</v>
      </c>
      <c r="L29" s="161">
        <f t="shared" si="1"/>
        <v>3473</v>
      </c>
    </row>
    <row r="30" spans="1:12" ht="15.75">
      <c r="A30" s="324" t="s">
        <v>634</v>
      </c>
      <c r="B30" s="72" t="s">
        <v>391</v>
      </c>
      <c r="C30" s="161">
        <v>0</v>
      </c>
      <c r="D30" s="161">
        <v>3876</v>
      </c>
      <c r="E30" s="161">
        <v>0</v>
      </c>
      <c r="F30" s="272"/>
      <c r="G30" s="161">
        <v>2730</v>
      </c>
      <c r="H30" s="161">
        <v>0</v>
      </c>
      <c r="I30" s="161">
        <v>0</v>
      </c>
      <c r="J30" s="276">
        <f t="shared" si="0"/>
        <v>2730</v>
      </c>
      <c r="K30" s="161">
        <v>1300</v>
      </c>
      <c r="L30" s="161">
        <f t="shared" si="1"/>
        <v>1430</v>
      </c>
    </row>
    <row r="31" spans="1:12" ht="15.75">
      <c r="A31" s="324" t="s">
        <v>635</v>
      </c>
      <c r="B31" s="55" t="s">
        <v>390</v>
      </c>
      <c r="C31" s="161">
        <v>400</v>
      </c>
      <c r="D31" s="161">
        <v>400</v>
      </c>
      <c r="E31" s="277">
        <v>0</v>
      </c>
      <c r="F31" s="272"/>
      <c r="G31" s="277">
        <v>400</v>
      </c>
      <c r="H31" s="277">
        <v>0</v>
      </c>
      <c r="I31" s="277">
        <v>0</v>
      </c>
      <c r="J31" s="276">
        <f t="shared" si="0"/>
        <v>400</v>
      </c>
      <c r="K31" s="277">
        <v>0</v>
      </c>
      <c r="L31" s="161">
        <f t="shared" si="1"/>
        <v>400</v>
      </c>
    </row>
    <row r="32" spans="1:12" ht="15.75">
      <c r="A32" s="324" t="s">
        <v>636</v>
      </c>
      <c r="B32" s="72" t="s">
        <v>389</v>
      </c>
      <c r="C32" s="161">
        <v>0</v>
      </c>
      <c r="D32" s="161">
        <v>319.9</v>
      </c>
      <c r="E32" s="161">
        <v>0</v>
      </c>
      <c r="F32" s="272"/>
      <c r="G32" s="161">
        <v>1600</v>
      </c>
      <c r="H32" s="161">
        <v>0</v>
      </c>
      <c r="I32" s="161">
        <v>0</v>
      </c>
      <c r="J32" s="276">
        <f t="shared" si="0"/>
        <v>1600</v>
      </c>
      <c r="K32" s="161">
        <v>1280</v>
      </c>
      <c r="L32" s="161">
        <f t="shared" si="1"/>
        <v>320</v>
      </c>
    </row>
    <row r="33" spans="1:12" ht="15.75">
      <c r="A33" s="324" t="s">
        <v>637</v>
      </c>
      <c r="B33" s="72" t="s">
        <v>388</v>
      </c>
      <c r="C33" s="161">
        <v>600</v>
      </c>
      <c r="D33" s="161">
        <v>600</v>
      </c>
      <c r="E33" s="161">
        <v>0</v>
      </c>
      <c r="F33" s="272"/>
      <c r="G33" s="161">
        <v>600</v>
      </c>
      <c r="H33" s="161">
        <v>0</v>
      </c>
      <c r="I33" s="161">
        <v>0</v>
      </c>
      <c r="J33" s="276">
        <f t="shared" si="0"/>
        <v>600</v>
      </c>
      <c r="K33" s="161">
        <v>0</v>
      </c>
      <c r="L33" s="161">
        <f t="shared" si="1"/>
        <v>600</v>
      </c>
    </row>
    <row r="34" spans="1:12" ht="15.75">
      <c r="A34" s="324" t="s">
        <v>638</v>
      </c>
      <c r="B34" s="72" t="s">
        <v>387</v>
      </c>
      <c r="C34" s="161">
        <v>1405</v>
      </c>
      <c r="D34" s="161">
        <v>1405</v>
      </c>
      <c r="E34" s="161">
        <v>0</v>
      </c>
      <c r="F34" s="272"/>
      <c r="G34" s="161">
        <v>1405</v>
      </c>
      <c r="H34" s="161">
        <v>0</v>
      </c>
      <c r="I34" s="161">
        <v>0</v>
      </c>
      <c r="J34" s="276">
        <f t="shared" si="0"/>
        <v>1405</v>
      </c>
      <c r="K34" s="161">
        <v>0</v>
      </c>
      <c r="L34" s="161">
        <f t="shared" si="1"/>
        <v>1405</v>
      </c>
    </row>
    <row r="35" spans="1:12" ht="15.75">
      <c r="A35" s="324" t="s">
        <v>639</v>
      </c>
      <c r="B35" s="72" t="s">
        <v>386</v>
      </c>
      <c r="C35" s="161">
        <v>0</v>
      </c>
      <c r="D35" s="161">
        <v>1989.5</v>
      </c>
      <c r="E35" s="161">
        <v>0</v>
      </c>
      <c r="F35" s="272"/>
      <c r="G35" s="161">
        <v>1990</v>
      </c>
      <c r="H35" s="161">
        <v>0</v>
      </c>
      <c r="I35" s="161">
        <v>0</v>
      </c>
      <c r="J35" s="276">
        <f t="shared" si="0"/>
        <v>1990</v>
      </c>
      <c r="K35" s="161">
        <v>1691</v>
      </c>
      <c r="L35" s="161">
        <f t="shared" si="1"/>
        <v>299</v>
      </c>
    </row>
    <row r="36" spans="1:12" ht="15.75">
      <c r="A36" s="324" t="s">
        <v>640</v>
      </c>
      <c r="B36" s="72" t="s">
        <v>385</v>
      </c>
      <c r="C36" s="161">
        <v>0</v>
      </c>
      <c r="D36" s="161">
        <v>116.9</v>
      </c>
      <c r="E36" s="277">
        <v>116.9</v>
      </c>
      <c r="F36" s="272"/>
      <c r="G36" s="277">
        <v>117</v>
      </c>
      <c r="H36" s="277">
        <v>0</v>
      </c>
      <c r="I36" s="277">
        <v>0</v>
      </c>
      <c r="J36" s="276">
        <f t="shared" si="0"/>
        <v>117</v>
      </c>
      <c r="K36" s="277">
        <v>82</v>
      </c>
      <c r="L36" s="161">
        <f t="shared" si="1"/>
        <v>35</v>
      </c>
    </row>
    <row r="37" spans="1:12" ht="15.75">
      <c r="A37" s="324" t="s">
        <v>641</v>
      </c>
      <c r="B37" s="72" t="s">
        <v>384</v>
      </c>
      <c r="C37" s="161">
        <v>0</v>
      </c>
      <c r="D37" s="161">
        <v>367.5</v>
      </c>
      <c r="E37" s="277">
        <v>367.4</v>
      </c>
      <c r="F37" s="272"/>
      <c r="G37" s="277">
        <v>368</v>
      </c>
      <c r="H37" s="277">
        <v>0</v>
      </c>
      <c r="I37" s="277">
        <v>0</v>
      </c>
      <c r="J37" s="276">
        <f t="shared" si="0"/>
        <v>368</v>
      </c>
      <c r="K37" s="277">
        <v>260</v>
      </c>
      <c r="L37" s="161">
        <f t="shared" si="1"/>
        <v>108</v>
      </c>
    </row>
    <row r="38" spans="1:12" ht="15.75">
      <c r="A38" s="324" t="s">
        <v>642</v>
      </c>
      <c r="B38" s="72" t="s">
        <v>383</v>
      </c>
      <c r="C38" s="161">
        <v>0</v>
      </c>
      <c r="D38" s="161">
        <v>497</v>
      </c>
      <c r="E38" s="161">
        <v>4</v>
      </c>
      <c r="F38" s="272"/>
      <c r="G38" s="161">
        <v>497</v>
      </c>
      <c r="H38" s="161">
        <v>0</v>
      </c>
      <c r="I38" s="161">
        <v>0</v>
      </c>
      <c r="J38" s="276">
        <f t="shared" si="0"/>
        <v>497</v>
      </c>
      <c r="K38" s="161">
        <v>350</v>
      </c>
      <c r="L38" s="161">
        <f t="shared" si="1"/>
        <v>147</v>
      </c>
    </row>
    <row r="39" spans="1:12" ht="15.75">
      <c r="A39" s="324" t="s">
        <v>643</v>
      </c>
      <c r="B39" s="72" t="s">
        <v>382</v>
      </c>
      <c r="C39" s="161">
        <v>500</v>
      </c>
      <c r="D39" s="161">
        <v>500</v>
      </c>
      <c r="E39" s="161">
        <v>475.3</v>
      </c>
      <c r="F39" s="272"/>
      <c r="G39" s="161">
        <v>475</v>
      </c>
      <c r="H39" s="161">
        <v>0</v>
      </c>
      <c r="I39" s="161">
        <v>0</v>
      </c>
      <c r="J39" s="276">
        <f t="shared" si="0"/>
        <v>475</v>
      </c>
      <c r="K39" s="161">
        <v>0</v>
      </c>
      <c r="L39" s="161">
        <f t="shared" si="1"/>
        <v>475</v>
      </c>
    </row>
    <row r="40" spans="1:12" ht="15.75">
      <c r="A40" s="324" t="s">
        <v>644</v>
      </c>
      <c r="B40" s="72" t="s">
        <v>381</v>
      </c>
      <c r="C40" s="161">
        <v>0</v>
      </c>
      <c r="D40" s="161">
        <v>928.5</v>
      </c>
      <c r="E40" s="161">
        <v>0</v>
      </c>
      <c r="F40" s="272"/>
      <c r="G40" s="161">
        <v>929</v>
      </c>
      <c r="H40" s="161">
        <v>0</v>
      </c>
      <c r="I40" s="161">
        <v>0</v>
      </c>
      <c r="J40" s="276">
        <f t="shared" si="0"/>
        <v>929</v>
      </c>
      <c r="K40" s="161">
        <v>0</v>
      </c>
      <c r="L40" s="161">
        <f t="shared" si="1"/>
        <v>929</v>
      </c>
    </row>
    <row r="41" spans="1:12" ht="15.75">
      <c r="A41" s="324" t="s">
        <v>645</v>
      </c>
      <c r="B41" s="72" t="s">
        <v>380</v>
      </c>
      <c r="C41" s="161">
        <v>500</v>
      </c>
      <c r="D41" s="161">
        <v>500</v>
      </c>
      <c r="E41" s="161">
        <v>0</v>
      </c>
      <c r="F41" s="272"/>
      <c r="G41" s="161">
        <v>500</v>
      </c>
      <c r="H41" s="161">
        <v>20000</v>
      </c>
      <c r="I41" s="161">
        <v>15500</v>
      </c>
      <c r="J41" s="276">
        <f t="shared" si="0"/>
        <v>36000</v>
      </c>
      <c r="K41" s="161">
        <v>24000</v>
      </c>
      <c r="L41" s="161">
        <f t="shared" si="1"/>
        <v>12000</v>
      </c>
    </row>
    <row r="42" spans="1:12" ht="15.75">
      <c r="A42" s="324" t="s">
        <v>646</v>
      </c>
      <c r="B42" s="72" t="s">
        <v>379</v>
      </c>
      <c r="C42" s="161">
        <v>2700</v>
      </c>
      <c r="D42" s="161">
        <v>2236.9</v>
      </c>
      <c r="E42" s="161">
        <v>2236.9</v>
      </c>
      <c r="F42" s="272"/>
      <c r="G42" s="161">
        <v>2237</v>
      </c>
      <c r="H42" s="161">
        <v>0</v>
      </c>
      <c r="I42" s="161">
        <v>0</v>
      </c>
      <c r="J42" s="276">
        <f t="shared" si="0"/>
        <v>2237</v>
      </c>
      <c r="K42" s="161">
        <v>0</v>
      </c>
      <c r="L42" s="161">
        <f t="shared" si="1"/>
        <v>2237</v>
      </c>
    </row>
    <row r="43" spans="1:12" ht="15.75">
      <c r="A43" s="324" t="s">
        <v>647</v>
      </c>
      <c r="B43" s="72" t="s">
        <v>493</v>
      </c>
      <c r="C43" s="161"/>
      <c r="D43" s="161"/>
      <c r="E43" s="161"/>
      <c r="F43" s="272"/>
      <c r="G43" s="161">
        <v>935</v>
      </c>
      <c r="H43" s="161">
        <v>0</v>
      </c>
      <c r="I43" s="161">
        <v>0</v>
      </c>
      <c r="J43" s="276">
        <f t="shared" si="0"/>
        <v>935</v>
      </c>
      <c r="K43" s="161">
        <v>0</v>
      </c>
      <c r="L43" s="161">
        <f t="shared" si="1"/>
        <v>935</v>
      </c>
    </row>
    <row r="44" spans="1:12" ht="15.75">
      <c r="A44" s="324" t="s">
        <v>648</v>
      </c>
      <c r="B44" s="72" t="s">
        <v>494</v>
      </c>
      <c r="C44" s="161"/>
      <c r="D44" s="161"/>
      <c r="E44" s="161"/>
      <c r="F44" s="272"/>
      <c r="G44" s="161">
        <v>750</v>
      </c>
      <c r="H44" s="161">
        <v>0</v>
      </c>
      <c r="I44" s="161">
        <v>0</v>
      </c>
      <c r="J44" s="276">
        <f t="shared" si="0"/>
        <v>750</v>
      </c>
      <c r="K44" s="161">
        <v>0</v>
      </c>
      <c r="L44" s="161">
        <f t="shared" si="1"/>
        <v>750</v>
      </c>
    </row>
    <row r="45" spans="1:12" ht="15.75">
      <c r="A45" s="324" t="s">
        <v>649</v>
      </c>
      <c r="B45" s="72" t="s">
        <v>495</v>
      </c>
      <c r="C45" s="161">
        <v>0</v>
      </c>
      <c r="D45" s="161">
        <v>0</v>
      </c>
      <c r="E45" s="161">
        <v>0</v>
      </c>
      <c r="F45" s="272"/>
      <c r="G45" s="161">
        <v>0</v>
      </c>
      <c r="H45" s="161">
        <v>8634</v>
      </c>
      <c r="I45" s="161">
        <v>0</v>
      </c>
      <c r="J45" s="276">
        <f t="shared" si="0"/>
        <v>8634</v>
      </c>
      <c r="K45" s="161">
        <v>7338</v>
      </c>
      <c r="L45" s="161">
        <f t="shared" si="1"/>
        <v>1296</v>
      </c>
    </row>
    <row r="46" spans="1:12" ht="15.75">
      <c r="A46" s="324" t="s">
        <v>650</v>
      </c>
      <c r="B46" s="72" t="s">
        <v>496</v>
      </c>
      <c r="C46" s="161">
        <v>0</v>
      </c>
      <c r="D46" s="161">
        <v>0</v>
      </c>
      <c r="E46" s="161">
        <v>0</v>
      </c>
      <c r="F46" s="272"/>
      <c r="G46" s="161">
        <v>0</v>
      </c>
      <c r="H46" s="161">
        <v>13748</v>
      </c>
      <c r="I46" s="161">
        <v>0</v>
      </c>
      <c r="J46" s="276">
        <f t="shared" si="0"/>
        <v>13748</v>
      </c>
      <c r="K46" s="161">
        <v>9590</v>
      </c>
      <c r="L46" s="161">
        <f t="shared" si="1"/>
        <v>4158</v>
      </c>
    </row>
    <row r="47" spans="1:12" ht="15.75">
      <c r="A47" s="324" t="s">
        <v>651</v>
      </c>
      <c r="B47" s="72" t="s">
        <v>497</v>
      </c>
      <c r="C47" s="161">
        <v>0</v>
      </c>
      <c r="D47" s="161">
        <v>0</v>
      </c>
      <c r="E47" s="161">
        <v>0</v>
      </c>
      <c r="F47" s="272"/>
      <c r="G47" s="161">
        <v>0</v>
      </c>
      <c r="H47" s="161">
        <v>1750</v>
      </c>
      <c r="I47" s="161">
        <v>0</v>
      </c>
      <c r="J47" s="276">
        <f t="shared" si="0"/>
        <v>1750</v>
      </c>
      <c r="K47" s="161">
        <v>1487</v>
      </c>
      <c r="L47" s="161">
        <f t="shared" si="1"/>
        <v>263</v>
      </c>
    </row>
    <row r="48" spans="1:12" ht="15.75">
      <c r="A48" s="324" t="s">
        <v>652</v>
      </c>
      <c r="B48" s="72" t="s">
        <v>498</v>
      </c>
      <c r="C48" s="161">
        <v>0</v>
      </c>
      <c r="D48" s="161">
        <v>1150</v>
      </c>
      <c r="E48" s="161">
        <v>0</v>
      </c>
      <c r="F48" s="272"/>
      <c r="G48" s="161">
        <v>50</v>
      </c>
      <c r="H48" s="161">
        <v>1100</v>
      </c>
      <c r="I48" s="161">
        <v>0</v>
      </c>
      <c r="J48" s="276">
        <f t="shared" si="0"/>
        <v>1150</v>
      </c>
      <c r="K48" s="161">
        <v>0</v>
      </c>
      <c r="L48" s="161">
        <f t="shared" si="1"/>
        <v>1150</v>
      </c>
    </row>
    <row r="49" spans="1:12" ht="15.75">
      <c r="A49" s="324" t="s">
        <v>653</v>
      </c>
      <c r="B49" s="72" t="s">
        <v>499</v>
      </c>
      <c r="C49" s="161">
        <v>0</v>
      </c>
      <c r="D49" s="161">
        <v>2850</v>
      </c>
      <c r="E49" s="161">
        <v>0</v>
      </c>
      <c r="F49" s="272"/>
      <c r="G49" s="161">
        <v>0</v>
      </c>
      <c r="H49" s="161">
        <v>2850</v>
      </c>
      <c r="I49" s="161">
        <v>0</v>
      </c>
      <c r="J49" s="276">
        <f t="shared" si="0"/>
        <v>2850</v>
      </c>
      <c r="K49" s="161">
        <v>1741</v>
      </c>
      <c r="L49" s="161">
        <f t="shared" si="1"/>
        <v>1109</v>
      </c>
    </row>
    <row r="50" spans="1:12" ht="15.75">
      <c r="A50" s="324" t="s">
        <v>654</v>
      </c>
      <c r="B50" s="72" t="s">
        <v>500</v>
      </c>
      <c r="C50" s="161">
        <v>0</v>
      </c>
      <c r="D50" s="161">
        <v>269</v>
      </c>
      <c r="E50" s="161">
        <v>0</v>
      </c>
      <c r="F50" s="272"/>
      <c r="G50" s="161">
        <v>269</v>
      </c>
      <c r="H50" s="161">
        <v>0</v>
      </c>
      <c r="I50" s="161">
        <v>0</v>
      </c>
      <c r="J50" s="276">
        <f t="shared" si="0"/>
        <v>269</v>
      </c>
      <c r="K50" s="161">
        <v>241</v>
      </c>
      <c r="L50" s="161">
        <f t="shared" si="1"/>
        <v>28</v>
      </c>
    </row>
    <row r="51" spans="1:12" ht="15.75">
      <c r="A51" s="324" t="s">
        <v>655</v>
      </c>
      <c r="B51" s="72" t="s">
        <v>501</v>
      </c>
      <c r="C51" s="161">
        <v>0</v>
      </c>
      <c r="D51" s="161">
        <v>357</v>
      </c>
      <c r="E51" s="161">
        <v>0</v>
      </c>
      <c r="F51" s="272"/>
      <c r="G51" s="161">
        <v>0</v>
      </c>
      <c r="H51" s="161">
        <v>357</v>
      </c>
      <c r="I51" s="161">
        <v>0</v>
      </c>
      <c r="J51" s="276">
        <f t="shared" si="0"/>
        <v>357</v>
      </c>
      <c r="K51" s="161">
        <v>321</v>
      </c>
      <c r="L51" s="161">
        <f t="shared" si="1"/>
        <v>36</v>
      </c>
    </row>
    <row r="52" spans="1:12" ht="15.75">
      <c r="A52" s="324" t="s">
        <v>656</v>
      </c>
      <c r="B52" s="72" t="s">
        <v>502</v>
      </c>
      <c r="C52" s="161">
        <v>0</v>
      </c>
      <c r="D52" s="161">
        <v>5480</v>
      </c>
      <c r="E52" s="161">
        <v>0</v>
      </c>
      <c r="F52" s="272"/>
      <c r="G52" s="161">
        <v>0</v>
      </c>
      <c r="H52" s="161">
        <v>5480</v>
      </c>
      <c r="I52" s="161">
        <v>0</v>
      </c>
      <c r="J52" s="276">
        <f t="shared" si="0"/>
        <v>5480</v>
      </c>
      <c r="K52" s="161">
        <v>5000</v>
      </c>
      <c r="L52" s="161">
        <f t="shared" si="1"/>
        <v>480</v>
      </c>
    </row>
    <row r="53" spans="1:12" ht="15.75">
      <c r="A53" s="324" t="s">
        <v>657</v>
      </c>
      <c r="B53" s="72" t="s">
        <v>503</v>
      </c>
      <c r="C53" s="161">
        <v>0</v>
      </c>
      <c r="D53" s="161">
        <v>1847</v>
      </c>
      <c r="E53" s="161">
        <v>0</v>
      </c>
      <c r="F53" s="272"/>
      <c r="G53" s="161">
        <v>20</v>
      </c>
      <c r="H53" s="161">
        <v>1827</v>
      </c>
      <c r="I53" s="161">
        <v>0</v>
      </c>
      <c r="J53" s="276">
        <f t="shared" si="0"/>
        <v>1847</v>
      </c>
      <c r="K53" s="161">
        <v>1432</v>
      </c>
      <c r="L53" s="161">
        <f t="shared" si="1"/>
        <v>415</v>
      </c>
    </row>
    <row r="54" spans="1:12" ht="15.75">
      <c r="A54" s="324" t="s">
        <v>658</v>
      </c>
      <c r="B54" s="72" t="s">
        <v>504</v>
      </c>
      <c r="C54" s="161">
        <v>0</v>
      </c>
      <c r="D54" s="161">
        <v>1600</v>
      </c>
      <c r="E54" s="161">
        <v>0</v>
      </c>
      <c r="F54" s="272"/>
      <c r="G54" s="161">
        <v>0</v>
      </c>
      <c r="H54" s="161">
        <v>1600</v>
      </c>
      <c r="I54" s="161">
        <v>0</v>
      </c>
      <c r="J54" s="276">
        <f t="shared" si="0"/>
        <v>1600</v>
      </c>
      <c r="K54" s="161">
        <v>700</v>
      </c>
      <c r="L54" s="161">
        <f t="shared" si="1"/>
        <v>900</v>
      </c>
    </row>
    <row r="55" spans="1:12" ht="15.75">
      <c r="A55" s="324" t="s">
        <v>659</v>
      </c>
      <c r="B55" s="72" t="s">
        <v>505</v>
      </c>
      <c r="C55" s="161">
        <v>0</v>
      </c>
      <c r="D55" s="161">
        <v>5189</v>
      </c>
      <c r="E55" s="161">
        <v>0</v>
      </c>
      <c r="F55" s="272"/>
      <c r="G55" s="161">
        <v>0</v>
      </c>
      <c r="H55" s="161">
        <v>5189</v>
      </c>
      <c r="I55" s="161">
        <v>0</v>
      </c>
      <c r="J55" s="276">
        <f t="shared" si="0"/>
        <v>5189</v>
      </c>
      <c r="K55" s="161">
        <v>3196</v>
      </c>
      <c r="L55" s="161">
        <f t="shared" si="1"/>
        <v>1993</v>
      </c>
    </row>
    <row r="56" spans="1:12" ht="15.75">
      <c r="A56" s="324" t="s">
        <v>660</v>
      </c>
      <c r="B56" s="72" t="s">
        <v>506</v>
      </c>
      <c r="C56" s="161">
        <v>0</v>
      </c>
      <c r="D56" s="161">
        <v>3620</v>
      </c>
      <c r="E56" s="161">
        <v>0</v>
      </c>
      <c r="F56" s="272"/>
      <c r="G56" s="161">
        <v>3620</v>
      </c>
      <c r="H56" s="161">
        <v>0</v>
      </c>
      <c r="I56" s="161">
        <v>0</v>
      </c>
      <c r="J56" s="276">
        <f t="shared" si="0"/>
        <v>3620</v>
      </c>
      <c r="K56" s="161">
        <v>0</v>
      </c>
      <c r="L56" s="161">
        <f t="shared" si="1"/>
        <v>3620</v>
      </c>
    </row>
    <row r="57" spans="1:12" ht="15.75">
      <c r="A57" s="324" t="s">
        <v>661</v>
      </c>
      <c r="B57" s="72" t="s">
        <v>605</v>
      </c>
      <c r="C57" s="161"/>
      <c r="D57" s="161"/>
      <c r="E57" s="161"/>
      <c r="F57" s="272"/>
      <c r="G57" s="161">
        <v>250</v>
      </c>
      <c r="H57" s="161">
        <v>0</v>
      </c>
      <c r="I57" s="161">
        <v>0</v>
      </c>
      <c r="J57" s="276">
        <f t="shared" si="0"/>
        <v>250</v>
      </c>
      <c r="K57" s="161">
        <v>0</v>
      </c>
      <c r="L57" s="161">
        <f t="shared" si="1"/>
        <v>250</v>
      </c>
    </row>
    <row r="58" spans="1:12" ht="15.75">
      <c r="A58" s="324" t="s">
        <v>662</v>
      </c>
      <c r="B58" s="72" t="s">
        <v>507</v>
      </c>
      <c r="C58" s="161"/>
      <c r="D58" s="161"/>
      <c r="E58" s="161"/>
      <c r="F58" s="272"/>
      <c r="G58" s="161">
        <v>3000</v>
      </c>
      <c r="H58" s="161">
        <v>3500</v>
      </c>
      <c r="I58" s="161">
        <v>2076</v>
      </c>
      <c r="J58" s="276">
        <f t="shared" si="0"/>
        <v>8576</v>
      </c>
      <c r="K58" s="161">
        <v>7290</v>
      </c>
      <c r="L58" s="161">
        <f t="shared" si="1"/>
        <v>1286</v>
      </c>
    </row>
    <row r="59" spans="1:12" ht="15.75">
      <c r="A59" s="324" t="s">
        <v>663</v>
      </c>
      <c r="B59" s="72" t="s">
        <v>508</v>
      </c>
      <c r="C59" s="161"/>
      <c r="D59" s="161"/>
      <c r="E59" s="161"/>
      <c r="F59" s="272"/>
      <c r="G59" s="161">
        <v>562</v>
      </c>
      <c r="H59" s="161">
        <v>0</v>
      </c>
      <c r="I59" s="161">
        <v>0</v>
      </c>
      <c r="J59" s="276">
        <f t="shared" si="0"/>
        <v>562</v>
      </c>
      <c r="K59" s="161">
        <v>487</v>
      </c>
      <c r="L59" s="161">
        <f t="shared" si="1"/>
        <v>75</v>
      </c>
    </row>
    <row r="60" spans="1:12" ht="15.75">
      <c r="A60" s="324" t="s">
        <v>664</v>
      </c>
      <c r="B60" s="72" t="s">
        <v>509</v>
      </c>
      <c r="C60" s="161"/>
      <c r="D60" s="161"/>
      <c r="E60" s="161"/>
      <c r="F60" s="272"/>
      <c r="G60" s="161">
        <v>168</v>
      </c>
      <c r="H60" s="161">
        <v>0</v>
      </c>
      <c r="I60" s="161">
        <v>0</v>
      </c>
      <c r="J60" s="276">
        <f t="shared" si="0"/>
        <v>168</v>
      </c>
      <c r="K60" s="161">
        <v>153</v>
      </c>
      <c r="L60" s="161">
        <f t="shared" si="1"/>
        <v>15</v>
      </c>
    </row>
    <row r="61" spans="1:12" ht="15.75">
      <c r="A61" s="324" t="s">
        <v>665</v>
      </c>
      <c r="B61" s="72" t="s">
        <v>510</v>
      </c>
      <c r="C61" s="161"/>
      <c r="D61" s="161"/>
      <c r="E61" s="161"/>
      <c r="F61" s="272"/>
      <c r="G61" s="161">
        <v>101</v>
      </c>
      <c r="H61" s="161">
        <v>0</v>
      </c>
      <c r="I61" s="161">
        <v>0</v>
      </c>
      <c r="J61" s="276">
        <f t="shared" si="0"/>
        <v>101</v>
      </c>
      <c r="K61" s="161">
        <v>70</v>
      </c>
      <c r="L61" s="161">
        <f t="shared" si="1"/>
        <v>31</v>
      </c>
    </row>
    <row r="62" spans="1:12" ht="15.75">
      <c r="A62" s="324" t="s">
        <v>666</v>
      </c>
      <c r="B62" s="72" t="s">
        <v>511</v>
      </c>
      <c r="C62" s="161"/>
      <c r="D62" s="161"/>
      <c r="E62" s="161"/>
      <c r="F62" s="272"/>
      <c r="G62" s="161">
        <v>95</v>
      </c>
      <c r="H62" s="161">
        <v>0</v>
      </c>
      <c r="I62" s="161">
        <v>0</v>
      </c>
      <c r="J62" s="276">
        <f t="shared" si="0"/>
        <v>95</v>
      </c>
      <c r="K62" s="161">
        <v>60</v>
      </c>
      <c r="L62" s="161">
        <f t="shared" si="1"/>
        <v>35</v>
      </c>
    </row>
    <row r="63" spans="1:12" ht="15.75">
      <c r="A63" s="324" t="s">
        <v>667</v>
      </c>
      <c r="B63" s="72" t="s">
        <v>512</v>
      </c>
      <c r="C63" s="161"/>
      <c r="D63" s="161"/>
      <c r="E63" s="161"/>
      <c r="F63" s="272"/>
      <c r="G63" s="161">
        <v>115</v>
      </c>
      <c r="H63" s="161">
        <v>0</v>
      </c>
      <c r="I63" s="161">
        <v>0</v>
      </c>
      <c r="J63" s="276">
        <f t="shared" si="0"/>
        <v>115</v>
      </c>
      <c r="K63" s="161">
        <v>57</v>
      </c>
      <c r="L63" s="161">
        <f t="shared" si="1"/>
        <v>58</v>
      </c>
    </row>
    <row r="64" spans="1:12" ht="15.75">
      <c r="A64" s="324" t="s">
        <v>668</v>
      </c>
      <c r="B64" s="72" t="s">
        <v>513</v>
      </c>
      <c r="C64" s="161"/>
      <c r="D64" s="161"/>
      <c r="E64" s="161"/>
      <c r="F64" s="272"/>
      <c r="G64" s="161">
        <v>25</v>
      </c>
      <c r="H64" s="161">
        <v>0</v>
      </c>
      <c r="I64" s="161">
        <v>0</v>
      </c>
      <c r="J64" s="276">
        <f t="shared" si="0"/>
        <v>25</v>
      </c>
      <c r="K64" s="161">
        <v>20</v>
      </c>
      <c r="L64" s="161">
        <f t="shared" si="1"/>
        <v>5</v>
      </c>
    </row>
    <row r="65" spans="1:12" ht="15.75">
      <c r="A65" s="324" t="s">
        <v>669</v>
      </c>
      <c r="B65" s="72" t="s">
        <v>514</v>
      </c>
      <c r="C65" s="161"/>
      <c r="D65" s="161"/>
      <c r="E65" s="161"/>
      <c r="F65" s="272"/>
      <c r="G65" s="161">
        <v>25</v>
      </c>
      <c r="H65" s="161">
        <v>0</v>
      </c>
      <c r="I65" s="161">
        <v>0</v>
      </c>
      <c r="J65" s="276">
        <f t="shared" si="0"/>
        <v>25</v>
      </c>
      <c r="K65" s="161">
        <v>20</v>
      </c>
      <c r="L65" s="161">
        <f t="shared" si="1"/>
        <v>5</v>
      </c>
    </row>
    <row r="66" spans="1:12" ht="15.75">
      <c r="A66" s="324" t="s">
        <v>670</v>
      </c>
      <c r="B66" s="72" t="s">
        <v>515</v>
      </c>
      <c r="C66" s="161"/>
      <c r="D66" s="161"/>
      <c r="E66" s="161"/>
      <c r="F66" s="272"/>
      <c r="G66" s="161">
        <v>97</v>
      </c>
      <c r="H66" s="161">
        <v>0</v>
      </c>
      <c r="I66" s="161">
        <v>0</v>
      </c>
      <c r="J66" s="276">
        <f t="shared" si="0"/>
        <v>97</v>
      </c>
      <c r="K66" s="161">
        <v>77</v>
      </c>
      <c r="L66" s="161">
        <f t="shared" si="1"/>
        <v>20</v>
      </c>
    </row>
    <row r="67" spans="1:12" ht="15.75">
      <c r="A67" s="324" t="s">
        <v>671</v>
      </c>
      <c r="B67" s="72" t="s">
        <v>516</v>
      </c>
      <c r="C67" s="161"/>
      <c r="D67" s="161"/>
      <c r="E67" s="161"/>
      <c r="F67" s="272"/>
      <c r="G67" s="161">
        <v>59</v>
      </c>
      <c r="H67" s="161">
        <v>0</v>
      </c>
      <c r="I67" s="161">
        <v>0</v>
      </c>
      <c r="J67" s="276">
        <f t="shared" si="0"/>
        <v>59</v>
      </c>
      <c r="K67" s="161">
        <v>20</v>
      </c>
      <c r="L67" s="161">
        <f t="shared" si="1"/>
        <v>39</v>
      </c>
    </row>
    <row r="68" spans="1:12" ht="15.75">
      <c r="A68" s="324" t="s">
        <v>672</v>
      </c>
      <c r="B68" s="72" t="s">
        <v>517</v>
      </c>
      <c r="C68" s="161"/>
      <c r="D68" s="161"/>
      <c r="E68" s="161"/>
      <c r="F68" s="272"/>
      <c r="G68" s="161">
        <v>400</v>
      </c>
      <c r="H68" s="161">
        <v>0</v>
      </c>
      <c r="I68" s="161">
        <v>0</v>
      </c>
      <c r="J68" s="276">
        <f t="shared" si="0"/>
        <v>400</v>
      </c>
      <c r="K68" s="161">
        <v>200</v>
      </c>
      <c r="L68" s="161">
        <f t="shared" si="1"/>
        <v>200</v>
      </c>
    </row>
    <row r="69" spans="1:12" ht="15.75">
      <c r="A69" s="324" t="s">
        <v>673</v>
      </c>
      <c r="B69" s="72" t="s">
        <v>518</v>
      </c>
      <c r="C69" s="161"/>
      <c r="D69" s="161"/>
      <c r="E69" s="161"/>
      <c r="F69" s="272"/>
      <c r="G69" s="161">
        <v>80</v>
      </c>
      <c r="H69" s="161">
        <v>0</v>
      </c>
      <c r="I69" s="161">
        <v>0</v>
      </c>
      <c r="J69" s="276">
        <f t="shared" si="0"/>
        <v>80</v>
      </c>
      <c r="K69" s="161">
        <v>72</v>
      </c>
      <c r="L69" s="161">
        <f t="shared" si="1"/>
        <v>8</v>
      </c>
    </row>
    <row r="70" spans="1:12" ht="15.75">
      <c r="A70" s="272"/>
      <c r="B70" s="72"/>
      <c r="C70" s="161"/>
      <c r="D70" s="161"/>
      <c r="E70" s="161"/>
      <c r="F70" s="272"/>
      <c r="G70" s="161"/>
      <c r="H70" s="161"/>
      <c r="I70" s="161"/>
      <c r="J70" s="276"/>
      <c r="K70" s="161"/>
      <c r="L70" s="161"/>
    </row>
    <row r="71" spans="1:12" ht="21" customHeight="1">
      <c r="A71" s="272"/>
      <c r="B71" s="53" t="s">
        <v>486</v>
      </c>
      <c r="C71" s="278">
        <f>SUM(C4:C70)</f>
        <v>116933</v>
      </c>
      <c r="D71" s="278">
        <f>SUM(D4:D70)</f>
        <v>153774.99999999997</v>
      </c>
      <c r="E71" s="278">
        <f>SUM(E4:E70)</f>
        <v>5366.1</v>
      </c>
      <c r="F71" s="272"/>
      <c r="G71" s="278">
        <f>SUM(G4:G70)</f>
        <v>126839</v>
      </c>
      <c r="H71" s="278">
        <f>SUM(H4:H70)</f>
        <v>87384</v>
      </c>
      <c r="I71" s="278">
        <f>SUM(I4:I70)</f>
        <v>17576</v>
      </c>
      <c r="J71" s="276">
        <f>SUM(J4:J70)</f>
        <v>231799</v>
      </c>
      <c r="K71" s="276">
        <f>SUM(K4:K70)</f>
        <v>118405</v>
      </c>
      <c r="L71" s="278">
        <f>SUM(L4:L70)</f>
        <v>113394</v>
      </c>
    </row>
    <row r="73" ht="12.75">
      <c r="B73" s="280" t="s">
        <v>519</v>
      </c>
    </row>
    <row r="74" ht="4.5" customHeight="1"/>
    <row r="75" ht="12.75">
      <c r="B75" s="281" t="s">
        <v>520</v>
      </c>
    </row>
  </sheetData>
  <sheetProtection/>
  <mergeCells count="1">
    <mergeCell ref="K2:L2"/>
  </mergeCells>
  <printOptions/>
  <pageMargins left="0.5905511811023623" right="0.31496062992125984" top="0.5905511811023623" bottom="0.3937007874015748" header="0.31496062992125984" footer="0.31496062992125984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9">
      <selection activeCell="K36" sqref="K36"/>
    </sheetView>
  </sheetViews>
  <sheetFormatPr defaultColWidth="9.140625" defaultRowHeight="12.75"/>
  <cols>
    <col min="1" max="1" width="5.00390625" style="282" customWidth="1"/>
    <col min="2" max="2" width="20.421875" style="283" customWidth="1"/>
    <col min="3" max="3" width="27.7109375" style="284" customWidth="1"/>
    <col min="4" max="4" width="11.421875" style="285" customWidth="1"/>
    <col min="5" max="5" width="10.7109375" style="285" customWidth="1"/>
    <col min="6" max="6" width="10.421875" style="285" customWidth="1"/>
    <col min="7" max="8" width="11.00390625" style="285" customWidth="1"/>
    <col min="9" max="9" width="10.57421875" style="285" customWidth="1"/>
    <col min="10" max="16384" width="9.140625" style="282" customWidth="1"/>
  </cols>
  <sheetData>
    <row r="1" ht="15.75">
      <c r="H1" s="286"/>
    </row>
    <row r="2" spans="1:5" ht="18.75">
      <c r="A2" s="287" t="s">
        <v>23</v>
      </c>
      <c r="D2" s="317"/>
      <c r="E2" s="317"/>
    </row>
    <row r="3" ht="2.25" customHeight="1"/>
    <row r="4" ht="21" customHeight="1"/>
    <row r="5" spans="1:9" ht="18.75">
      <c r="A5" s="318" t="s">
        <v>521</v>
      </c>
      <c r="B5" s="318"/>
      <c r="C5" s="318"/>
      <c r="D5" s="318"/>
      <c r="E5" s="318"/>
      <c r="F5" s="318"/>
      <c r="G5" s="318"/>
      <c r="H5" s="318"/>
      <c r="I5" s="318"/>
    </row>
    <row r="6" ht="24" customHeight="1">
      <c r="D6" s="288" t="s">
        <v>522</v>
      </c>
    </row>
    <row r="7" ht="24" customHeight="1">
      <c r="D7" s="288" t="s">
        <v>675</v>
      </c>
    </row>
    <row r="8" spans="1:10" ht="15">
      <c r="A8" s="319" t="s">
        <v>523</v>
      </c>
      <c r="B8" s="320"/>
      <c r="C8" s="320"/>
      <c r="D8" s="321" t="s">
        <v>524</v>
      </c>
      <c r="E8" s="321"/>
      <c r="F8" s="321"/>
      <c r="G8" s="321"/>
      <c r="H8" s="321"/>
      <c r="I8" s="325"/>
      <c r="J8" s="326"/>
    </row>
    <row r="9" spans="1:10" ht="15">
      <c r="A9" s="319"/>
      <c r="B9" s="320"/>
      <c r="C9" s="320"/>
      <c r="D9" s="289">
        <v>2010</v>
      </c>
      <c r="E9" s="289">
        <v>2011</v>
      </c>
      <c r="F9" s="289">
        <v>2012</v>
      </c>
      <c r="G9" s="289">
        <v>2013</v>
      </c>
      <c r="H9" s="289">
        <v>2014</v>
      </c>
      <c r="I9" s="289">
        <v>2015</v>
      </c>
      <c r="J9" s="289">
        <v>2016</v>
      </c>
    </row>
    <row r="10" spans="1:10" ht="30">
      <c r="A10" s="290" t="s">
        <v>525</v>
      </c>
      <c r="B10" s="291"/>
      <c r="C10" s="292" t="s">
        <v>526</v>
      </c>
      <c r="D10" s="293">
        <v>236499</v>
      </c>
      <c r="E10" s="293">
        <v>90354</v>
      </c>
      <c r="F10" s="293">
        <v>110747</v>
      </c>
      <c r="G10" s="293">
        <v>132438</v>
      </c>
      <c r="H10" s="293">
        <v>51993</v>
      </c>
      <c r="I10" s="293">
        <v>13145</v>
      </c>
      <c r="J10" s="293">
        <v>1709</v>
      </c>
    </row>
    <row r="11" spans="1:10" ht="20.25" customHeight="1">
      <c r="A11" s="294" t="s">
        <v>527</v>
      </c>
      <c r="B11" s="295" t="s">
        <v>528</v>
      </c>
      <c r="C11" s="296" t="s">
        <v>529</v>
      </c>
      <c r="D11" s="297">
        <v>321361</v>
      </c>
      <c r="E11" s="297">
        <v>257291</v>
      </c>
      <c r="F11" s="297">
        <v>272074</v>
      </c>
      <c r="G11" s="297">
        <v>290848</v>
      </c>
      <c r="H11" s="297">
        <v>288901</v>
      </c>
      <c r="I11" s="297">
        <v>274101</v>
      </c>
      <c r="J11" s="297">
        <v>271800</v>
      </c>
    </row>
    <row r="12" spans="1:10" ht="19.5" customHeight="1">
      <c r="A12" s="294" t="s">
        <v>530</v>
      </c>
      <c r="B12" s="295" t="s">
        <v>531</v>
      </c>
      <c r="C12" s="296" t="s">
        <v>532</v>
      </c>
      <c r="D12" s="297">
        <v>57587</v>
      </c>
      <c r="E12" s="297">
        <v>66811</v>
      </c>
      <c r="F12" s="297">
        <v>68430</v>
      </c>
      <c r="G12" s="297">
        <v>66861</v>
      </c>
      <c r="H12" s="297">
        <v>53504</v>
      </c>
      <c r="I12" s="297">
        <v>53524</v>
      </c>
      <c r="J12" s="297">
        <v>53612</v>
      </c>
    </row>
    <row r="13" spans="1:10" ht="19.5" customHeight="1">
      <c r="A13" s="294" t="s">
        <v>533</v>
      </c>
      <c r="B13" s="295" t="s">
        <v>534</v>
      </c>
      <c r="C13" s="296" t="s">
        <v>535</v>
      </c>
      <c r="D13" s="297">
        <v>34049</v>
      </c>
      <c r="E13" s="297">
        <v>22969</v>
      </c>
      <c r="F13" s="297">
        <v>16113</v>
      </c>
      <c r="G13" s="297">
        <v>12891</v>
      </c>
      <c r="H13" s="297">
        <v>4950</v>
      </c>
      <c r="I13" s="297">
        <v>200</v>
      </c>
      <c r="J13" s="297">
        <v>500</v>
      </c>
    </row>
    <row r="14" spans="1:10" ht="19.5" customHeight="1">
      <c r="A14" s="294" t="s">
        <v>536</v>
      </c>
      <c r="B14" s="295" t="s">
        <v>537</v>
      </c>
      <c r="C14" s="296" t="s">
        <v>538</v>
      </c>
      <c r="D14" s="297">
        <v>990386</v>
      </c>
      <c r="E14" s="297">
        <v>755821</v>
      </c>
      <c r="F14" s="297">
        <v>83257</v>
      </c>
      <c r="G14" s="297">
        <v>87832</v>
      </c>
      <c r="H14" s="297">
        <v>83765</v>
      </c>
      <c r="I14" s="297">
        <v>52140</v>
      </c>
      <c r="J14" s="297">
        <v>34550</v>
      </c>
    </row>
    <row r="15" spans="1:10" ht="25.5">
      <c r="A15" s="295" t="s">
        <v>539</v>
      </c>
      <c r="B15" s="295" t="s">
        <v>540</v>
      </c>
      <c r="C15" s="296" t="s">
        <v>541</v>
      </c>
      <c r="D15" s="298">
        <f aca="true" t="shared" si="0" ref="D15:I15">D11+D12+D13+D14</f>
        <v>1403383</v>
      </c>
      <c r="E15" s="298">
        <f t="shared" si="0"/>
        <v>1102892</v>
      </c>
      <c r="F15" s="298">
        <f t="shared" si="0"/>
        <v>439874</v>
      </c>
      <c r="G15" s="298">
        <f t="shared" si="0"/>
        <v>458432</v>
      </c>
      <c r="H15" s="298">
        <f t="shared" si="0"/>
        <v>431120</v>
      </c>
      <c r="I15" s="298">
        <f t="shared" si="0"/>
        <v>379965</v>
      </c>
      <c r="J15" s="298">
        <f>J11+J12+J13+J14</f>
        <v>360462</v>
      </c>
    </row>
    <row r="16" spans="1:10" ht="12.75">
      <c r="A16" s="294" t="s">
        <v>542</v>
      </c>
      <c r="B16" s="295"/>
      <c r="C16" s="296" t="s">
        <v>543</v>
      </c>
      <c r="D16" s="297">
        <v>748262</v>
      </c>
      <c r="E16" s="297">
        <v>560739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</row>
    <row r="17" spans="1:10" ht="24.75" customHeight="1">
      <c r="A17" s="294" t="s">
        <v>544</v>
      </c>
      <c r="B17" s="295" t="s">
        <v>545</v>
      </c>
      <c r="C17" s="296" t="s">
        <v>546</v>
      </c>
      <c r="D17" s="298">
        <f aca="true" t="shared" si="1" ref="D17:I17">D15-D16</f>
        <v>655121</v>
      </c>
      <c r="E17" s="298">
        <f t="shared" si="1"/>
        <v>542153</v>
      </c>
      <c r="F17" s="298">
        <f t="shared" si="1"/>
        <v>439874</v>
      </c>
      <c r="G17" s="298">
        <f t="shared" si="1"/>
        <v>458432</v>
      </c>
      <c r="H17" s="298">
        <f t="shared" si="1"/>
        <v>431120</v>
      </c>
      <c r="I17" s="298">
        <f t="shared" si="1"/>
        <v>379965</v>
      </c>
      <c r="J17" s="298">
        <f>J15-J16</f>
        <v>360462</v>
      </c>
    </row>
    <row r="18" spans="1:10" ht="25.5">
      <c r="A18" s="295" t="s">
        <v>547</v>
      </c>
      <c r="B18" s="295"/>
      <c r="C18" s="296" t="s">
        <v>548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</row>
    <row r="19" spans="1:10" ht="18" customHeight="1">
      <c r="A19" s="294" t="s">
        <v>549</v>
      </c>
      <c r="B19" s="295"/>
      <c r="C19" s="296" t="s">
        <v>550</v>
      </c>
      <c r="D19" s="297">
        <v>0</v>
      </c>
      <c r="E19" s="297">
        <v>0</v>
      </c>
      <c r="F19" s="297">
        <v>0</v>
      </c>
      <c r="G19" s="297">
        <v>0</v>
      </c>
      <c r="H19" s="297">
        <v>0</v>
      </c>
      <c r="I19" s="297">
        <v>0</v>
      </c>
      <c r="J19" s="297">
        <v>0</v>
      </c>
    </row>
    <row r="20" spans="1:10" ht="19.5" customHeight="1">
      <c r="A20" s="294" t="s">
        <v>551</v>
      </c>
      <c r="B20" s="295"/>
      <c r="C20" s="296" t="s">
        <v>552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</row>
    <row r="21" spans="1:10" ht="25.5">
      <c r="A21" s="294" t="s">
        <v>553</v>
      </c>
      <c r="B21" s="295"/>
      <c r="C21" s="296" t="s">
        <v>554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</row>
    <row r="22" spans="1:10" ht="25.5">
      <c r="A22" s="295" t="s">
        <v>555</v>
      </c>
      <c r="B22" s="295"/>
      <c r="C22" s="299" t="s">
        <v>556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</row>
    <row r="23" spans="1:10" ht="12.75">
      <c r="A23" s="294" t="s">
        <v>557</v>
      </c>
      <c r="B23" s="295"/>
      <c r="C23" s="296" t="s">
        <v>558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</row>
    <row r="24" spans="1:10" ht="25.5">
      <c r="A24" s="294" t="s">
        <v>559</v>
      </c>
      <c r="B24" s="299" t="s">
        <v>560</v>
      </c>
      <c r="C24" s="299" t="s">
        <v>561</v>
      </c>
      <c r="D24" s="298">
        <f aca="true" t="shared" si="2" ref="D24:I24">D18+D19+D20+D21+D22+D23</f>
        <v>0</v>
      </c>
      <c r="E24" s="298">
        <f t="shared" si="2"/>
        <v>0</v>
      </c>
      <c r="F24" s="298">
        <f t="shared" si="2"/>
        <v>0</v>
      </c>
      <c r="G24" s="298">
        <f t="shared" si="2"/>
        <v>0</v>
      </c>
      <c r="H24" s="298">
        <f t="shared" si="2"/>
        <v>0</v>
      </c>
      <c r="I24" s="298">
        <f t="shared" si="2"/>
        <v>0</v>
      </c>
      <c r="J24" s="298">
        <f>J18+J19+J20+J21+J22+J23</f>
        <v>0</v>
      </c>
    </row>
    <row r="25" spans="1:10" ht="29.25" customHeight="1">
      <c r="A25" s="290" t="s">
        <v>562</v>
      </c>
      <c r="B25" s="300" t="s">
        <v>563</v>
      </c>
      <c r="C25" s="301" t="s">
        <v>564</v>
      </c>
      <c r="D25" s="302">
        <f aca="true" t="shared" si="3" ref="D25:I25">D17+D24</f>
        <v>655121</v>
      </c>
      <c r="E25" s="302">
        <f t="shared" si="3"/>
        <v>542153</v>
      </c>
      <c r="F25" s="302">
        <f t="shared" si="3"/>
        <v>439874</v>
      </c>
      <c r="G25" s="302">
        <f t="shared" si="3"/>
        <v>458432</v>
      </c>
      <c r="H25" s="302">
        <f t="shared" si="3"/>
        <v>431120</v>
      </c>
      <c r="I25" s="302">
        <f t="shared" si="3"/>
        <v>379965</v>
      </c>
      <c r="J25" s="302">
        <f>J17+J24</f>
        <v>360462</v>
      </c>
    </row>
    <row r="26" spans="1:10" ht="25.5">
      <c r="A26" s="294" t="s">
        <v>565</v>
      </c>
      <c r="B26" s="295" t="s">
        <v>566</v>
      </c>
      <c r="C26" s="299" t="s">
        <v>567</v>
      </c>
      <c r="D26" s="297">
        <v>1350485</v>
      </c>
      <c r="E26" s="297">
        <v>1030970</v>
      </c>
      <c r="F26" s="297">
        <v>334332</v>
      </c>
      <c r="G26" s="297">
        <v>383825</v>
      </c>
      <c r="H26" s="297">
        <f>361591</f>
        <v>361591</v>
      </c>
      <c r="I26" s="297">
        <f>365361</f>
        <v>365361</v>
      </c>
      <c r="J26" s="297">
        <f>372391</f>
        <v>372391</v>
      </c>
    </row>
    <row r="27" spans="1:10" ht="25.5">
      <c r="A27" s="294" t="s">
        <v>568</v>
      </c>
      <c r="B27" s="295" t="s">
        <v>569</v>
      </c>
      <c r="C27" s="299" t="s">
        <v>570</v>
      </c>
      <c r="D27" s="297">
        <v>180617</v>
      </c>
      <c r="E27" s="297">
        <v>33693</v>
      </c>
      <c r="F27" s="297">
        <v>65937</v>
      </c>
      <c r="G27" s="297">
        <f>133320+1700+2000</f>
        <v>137020</v>
      </c>
      <c r="H27" s="297">
        <v>93884</v>
      </c>
      <c r="I27" s="297">
        <v>21000</v>
      </c>
      <c r="J27" s="297">
        <v>5000</v>
      </c>
    </row>
    <row r="28" spans="1:10" ht="25.5">
      <c r="A28" s="295" t="s">
        <v>571</v>
      </c>
      <c r="B28" s="295" t="s">
        <v>572</v>
      </c>
      <c r="C28" s="299" t="s">
        <v>573</v>
      </c>
      <c r="D28" s="298">
        <f aca="true" t="shared" si="4" ref="D28:I28">D26+D27</f>
        <v>1531102</v>
      </c>
      <c r="E28" s="298">
        <f t="shared" si="4"/>
        <v>1064663</v>
      </c>
      <c r="F28" s="298">
        <f t="shared" si="4"/>
        <v>400269</v>
      </c>
      <c r="G28" s="298">
        <f t="shared" si="4"/>
        <v>520845</v>
      </c>
      <c r="H28" s="298">
        <f t="shared" si="4"/>
        <v>455475</v>
      </c>
      <c r="I28" s="298">
        <f t="shared" si="4"/>
        <v>386361</v>
      </c>
      <c r="J28" s="298">
        <f>J26+J27</f>
        <v>377391</v>
      </c>
    </row>
    <row r="29" spans="1:10" ht="18.75" customHeight="1">
      <c r="A29" s="294" t="s">
        <v>574</v>
      </c>
      <c r="B29" s="295"/>
      <c r="C29" s="299" t="s">
        <v>575</v>
      </c>
      <c r="D29" s="297">
        <v>748262</v>
      </c>
      <c r="E29" s="297">
        <v>560739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</row>
    <row r="30" spans="1:10" ht="24" customHeight="1">
      <c r="A30" s="294" t="s">
        <v>576</v>
      </c>
      <c r="B30" s="295" t="s">
        <v>577</v>
      </c>
      <c r="C30" s="299" t="s">
        <v>578</v>
      </c>
      <c r="D30" s="298">
        <f aca="true" t="shared" si="5" ref="D30:I30">D28-D29</f>
        <v>782840</v>
      </c>
      <c r="E30" s="298">
        <f t="shared" si="5"/>
        <v>503924</v>
      </c>
      <c r="F30" s="298">
        <f t="shared" si="5"/>
        <v>400269</v>
      </c>
      <c r="G30" s="298">
        <f t="shared" si="5"/>
        <v>520845</v>
      </c>
      <c r="H30" s="298">
        <f t="shared" si="5"/>
        <v>455475</v>
      </c>
      <c r="I30" s="298">
        <f t="shared" si="5"/>
        <v>386361</v>
      </c>
      <c r="J30" s="298">
        <f>J28-J29</f>
        <v>377391</v>
      </c>
    </row>
    <row r="31" spans="1:10" ht="25.5">
      <c r="A31" s="294" t="s">
        <v>579</v>
      </c>
      <c r="B31" s="295"/>
      <c r="C31" s="299" t="s">
        <v>580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</row>
    <row r="32" spans="1:10" ht="25.5">
      <c r="A32" s="294" t="s">
        <v>581</v>
      </c>
      <c r="B32" s="295"/>
      <c r="C32" s="299" t="s">
        <v>582</v>
      </c>
      <c r="D32" s="297">
        <v>18376</v>
      </c>
      <c r="E32" s="297">
        <v>17805</v>
      </c>
      <c r="F32" s="297">
        <v>17914</v>
      </c>
      <c r="G32" s="297">
        <v>18032</v>
      </c>
      <c r="H32" s="297">
        <v>14493</v>
      </c>
      <c r="I32" s="297">
        <v>5040</v>
      </c>
      <c r="J32" s="297">
        <v>5040</v>
      </c>
    </row>
    <row r="33" spans="1:10" ht="25.5">
      <c r="A33" s="294" t="s">
        <v>583</v>
      </c>
      <c r="B33" s="295"/>
      <c r="C33" s="299" t="s">
        <v>584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</row>
    <row r="34" spans="1:10" ht="25.5">
      <c r="A34" s="294" t="s">
        <v>585</v>
      </c>
      <c r="B34" s="295"/>
      <c r="C34" s="299" t="s">
        <v>586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</row>
    <row r="35" spans="1:10" ht="25.5">
      <c r="A35" s="295" t="s">
        <v>587</v>
      </c>
      <c r="B35" s="295"/>
      <c r="C35" s="299" t="s">
        <v>586</v>
      </c>
      <c r="D35" s="297">
        <v>0</v>
      </c>
      <c r="E35" s="297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</row>
    <row r="36" spans="1:10" ht="12.75">
      <c r="A36" s="294" t="s">
        <v>588</v>
      </c>
      <c r="B36" s="295"/>
      <c r="C36" s="299" t="s">
        <v>558</v>
      </c>
      <c r="D36" s="297">
        <v>50</v>
      </c>
      <c r="E36" s="297">
        <v>31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</row>
    <row r="37" spans="1:10" ht="27" customHeight="1">
      <c r="A37" s="294" t="s">
        <v>589</v>
      </c>
      <c r="B37" s="299" t="s">
        <v>590</v>
      </c>
      <c r="C37" s="299" t="s">
        <v>591</v>
      </c>
      <c r="D37" s="298">
        <f aca="true" t="shared" si="6" ref="D37:I37">D31+D32+D33+D34+D35+D36</f>
        <v>18426</v>
      </c>
      <c r="E37" s="298">
        <f t="shared" si="6"/>
        <v>17836</v>
      </c>
      <c r="F37" s="298">
        <f t="shared" si="6"/>
        <v>17914</v>
      </c>
      <c r="G37" s="298">
        <f t="shared" si="6"/>
        <v>18032</v>
      </c>
      <c r="H37" s="298">
        <f t="shared" si="6"/>
        <v>14493</v>
      </c>
      <c r="I37" s="298">
        <f t="shared" si="6"/>
        <v>5040</v>
      </c>
      <c r="J37" s="298">
        <f>J31+J32+J33+J34+J35+J36</f>
        <v>5040</v>
      </c>
    </row>
    <row r="38" spans="1:10" ht="30" customHeight="1">
      <c r="A38" s="300" t="s">
        <v>592</v>
      </c>
      <c r="B38" s="300" t="s">
        <v>593</v>
      </c>
      <c r="C38" s="301" t="s">
        <v>594</v>
      </c>
      <c r="D38" s="302">
        <f aca="true" t="shared" si="7" ref="D38:I38">D30+D37</f>
        <v>801266</v>
      </c>
      <c r="E38" s="302">
        <f t="shared" si="7"/>
        <v>521760</v>
      </c>
      <c r="F38" s="302">
        <f t="shared" si="7"/>
        <v>418183</v>
      </c>
      <c r="G38" s="302">
        <f t="shared" si="7"/>
        <v>538877</v>
      </c>
      <c r="H38" s="302">
        <f t="shared" si="7"/>
        <v>469968</v>
      </c>
      <c r="I38" s="302">
        <f t="shared" si="7"/>
        <v>391401</v>
      </c>
      <c r="J38" s="302">
        <f>J30+J37</f>
        <v>382431</v>
      </c>
    </row>
    <row r="39" spans="1:10" ht="28.5" customHeight="1">
      <c r="A39" s="290" t="s">
        <v>595</v>
      </c>
      <c r="B39" s="300" t="s">
        <v>596</v>
      </c>
      <c r="C39" s="301" t="s">
        <v>597</v>
      </c>
      <c r="D39" s="302">
        <f aca="true" t="shared" si="8" ref="D39:I39">D25-D38</f>
        <v>-146145</v>
      </c>
      <c r="E39" s="302">
        <f t="shared" si="8"/>
        <v>20393</v>
      </c>
      <c r="F39" s="302">
        <f t="shared" si="8"/>
        <v>21691</v>
      </c>
      <c r="G39" s="302">
        <f t="shared" si="8"/>
        <v>-80445</v>
      </c>
      <c r="H39" s="302">
        <f t="shared" si="8"/>
        <v>-38848</v>
      </c>
      <c r="I39" s="302">
        <f t="shared" si="8"/>
        <v>-11436</v>
      </c>
      <c r="J39" s="302">
        <f>J25-J38</f>
        <v>-21969</v>
      </c>
    </row>
    <row r="40" spans="1:10" ht="29.25" customHeight="1">
      <c r="A40" s="290" t="s">
        <v>598</v>
      </c>
      <c r="B40" s="300" t="s">
        <v>599</v>
      </c>
      <c r="C40" s="301" t="s">
        <v>600</v>
      </c>
      <c r="D40" s="302">
        <f aca="true" t="shared" si="9" ref="D40:I40">D10+D39</f>
        <v>90354</v>
      </c>
      <c r="E40" s="302">
        <f t="shared" si="9"/>
        <v>110747</v>
      </c>
      <c r="F40" s="302">
        <f t="shared" si="9"/>
        <v>132438</v>
      </c>
      <c r="G40" s="302">
        <f t="shared" si="9"/>
        <v>51993</v>
      </c>
      <c r="H40" s="302">
        <f t="shared" si="9"/>
        <v>13145</v>
      </c>
      <c r="I40" s="302">
        <f t="shared" si="9"/>
        <v>1709</v>
      </c>
      <c r="J40" s="302">
        <f>J10+J39</f>
        <v>-20260</v>
      </c>
    </row>
    <row r="42" spans="1:9" ht="12.75" hidden="1">
      <c r="A42" s="322" t="s">
        <v>601</v>
      </c>
      <c r="B42" s="323"/>
      <c r="C42" s="323"/>
      <c r="D42" s="323"/>
      <c r="E42" s="323"/>
      <c r="F42" s="323"/>
      <c r="G42" s="323"/>
      <c r="H42" s="323"/>
      <c r="I42" s="323"/>
    </row>
    <row r="43" spans="1:9" ht="12.75" hidden="1">
      <c r="A43" s="323"/>
      <c r="B43" s="323"/>
      <c r="C43" s="323"/>
      <c r="D43" s="323"/>
      <c r="E43" s="323"/>
      <c r="F43" s="323"/>
      <c r="G43" s="323"/>
      <c r="H43" s="323"/>
      <c r="I43" s="323"/>
    </row>
    <row r="44" spans="1:9" ht="12.75" hidden="1">
      <c r="A44" s="314" t="s">
        <v>602</v>
      </c>
      <c r="B44" s="314"/>
      <c r="C44" s="314"/>
      <c r="D44" s="314"/>
      <c r="E44" s="314"/>
      <c r="F44" s="314"/>
      <c r="G44" s="314"/>
      <c r="H44" s="314"/>
      <c r="I44" s="314"/>
    </row>
    <row r="45" spans="1:9" ht="12.75" hidden="1">
      <c r="A45" s="314"/>
      <c r="B45" s="314"/>
      <c r="C45" s="314"/>
      <c r="D45" s="314"/>
      <c r="E45" s="314"/>
      <c r="F45" s="314"/>
      <c r="G45" s="314"/>
      <c r="H45" s="314"/>
      <c r="I45" s="314"/>
    </row>
    <row r="46" spans="1:9" ht="12.75" hidden="1">
      <c r="A46" s="303"/>
      <c r="B46" s="303"/>
      <c r="C46" s="303"/>
      <c r="D46" s="303"/>
      <c r="E46" s="303"/>
      <c r="F46" s="303"/>
      <c r="G46" s="303"/>
      <c r="H46" s="303"/>
      <c r="I46" s="303"/>
    </row>
    <row r="47" spans="1:9" ht="12.75" hidden="1">
      <c r="A47" s="303"/>
      <c r="B47" s="303"/>
      <c r="C47" s="303"/>
      <c r="D47" s="303"/>
      <c r="E47" s="303"/>
      <c r="F47" s="303"/>
      <c r="G47" s="303"/>
      <c r="H47" s="303"/>
      <c r="I47" s="303"/>
    </row>
    <row r="48" spans="1:9" ht="12.75" hidden="1">
      <c r="A48" s="303"/>
      <c r="B48" s="303"/>
      <c r="C48" s="303"/>
      <c r="D48" s="303"/>
      <c r="E48" s="303"/>
      <c r="F48" s="303"/>
      <c r="G48" s="303"/>
      <c r="H48" s="303"/>
      <c r="I48" s="303"/>
    </row>
    <row r="49" spans="1:9" ht="12.75" hidden="1">
      <c r="A49" s="303"/>
      <c r="B49" s="303"/>
      <c r="C49" s="303"/>
      <c r="D49" s="303"/>
      <c r="E49" s="303"/>
      <c r="F49" s="303"/>
      <c r="G49" s="303"/>
      <c r="H49" s="303"/>
      <c r="I49" s="303"/>
    </row>
    <row r="50" ht="12.75" hidden="1"/>
    <row r="51" ht="12.75" hidden="1"/>
    <row r="52" ht="34.5" customHeight="1" hidden="1"/>
    <row r="53" ht="15" customHeight="1"/>
    <row r="54" spans="2:7" ht="15" customHeight="1" hidden="1">
      <c r="B54" s="315" t="s">
        <v>603</v>
      </c>
      <c r="C54" s="316" t="s">
        <v>604</v>
      </c>
      <c r="D54" s="316"/>
      <c r="E54" s="316"/>
      <c r="F54" s="316"/>
      <c r="G54" s="316"/>
    </row>
    <row r="55" spans="2:7" ht="12.75" hidden="1">
      <c r="B55" s="315"/>
      <c r="C55" s="316"/>
      <c r="D55" s="316"/>
      <c r="E55" s="316"/>
      <c r="F55" s="316"/>
      <c r="G55" s="316"/>
    </row>
    <row r="56" spans="2:7" ht="12.75" hidden="1">
      <c r="B56" s="315"/>
      <c r="C56" s="316"/>
      <c r="D56" s="316"/>
      <c r="E56" s="316"/>
      <c r="F56" s="316"/>
      <c r="G56" s="316"/>
    </row>
    <row r="57" spans="2:7" ht="12.75" hidden="1">
      <c r="B57" s="315"/>
      <c r="C57" s="316"/>
      <c r="D57" s="316"/>
      <c r="E57" s="316"/>
      <c r="F57" s="316"/>
      <c r="G57" s="316"/>
    </row>
    <row r="58" spans="2:7" ht="12.75" hidden="1">
      <c r="B58" s="315"/>
      <c r="C58" s="316"/>
      <c r="D58" s="316"/>
      <c r="E58" s="316"/>
      <c r="F58" s="316"/>
      <c r="G58" s="316"/>
    </row>
    <row r="59" spans="2:7" ht="12.75" hidden="1">
      <c r="B59" s="315"/>
      <c r="C59" s="316"/>
      <c r="D59" s="316"/>
      <c r="E59" s="316"/>
      <c r="F59" s="316"/>
      <c r="G59" s="316"/>
    </row>
    <row r="60" spans="2:7" ht="12.75" hidden="1">
      <c r="B60" s="315"/>
      <c r="C60" s="316"/>
      <c r="D60" s="316"/>
      <c r="E60" s="316"/>
      <c r="F60" s="316"/>
      <c r="G60" s="316"/>
    </row>
    <row r="61" spans="2:7" ht="12.75" hidden="1">
      <c r="B61" s="315"/>
      <c r="C61" s="316"/>
      <c r="D61" s="316"/>
      <c r="E61" s="316"/>
      <c r="F61" s="316"/>
      <c r="G61" s="316"/>
    </row>
    <row r="62" spans="2:7" ht="12.75" hidden="1">
      <c r="B62" s="315"/>
      <c r="C62" s="316"/>
      <c r="D62" s="316"/>
      <c r="E62" s="316"/>
      <c r="F62" s="316"/>
      <c r="G62" s="316"/>
    </row>
    <row r="63" spans="2:7" ht="0.75" customHeight="1" hidden="1">
      <c r="B63" s="315"/>
      <c r="C63" s="316"/>
      <c r="D63" s="316"/>
      <c r="E63" s="316"/>
      <c r="F63" s="316"/>
      <c r="G63" s="316"/>
    </row>
    <row r="64" ht="12.75" hidden="1"/>
  </sheetData>
  <sheetProtection/>
  <mergeCells count="9">
    <mergeCell ref="A44:I45"/>
    <mergeCell ref="B54:B63"/>
    <mergeCell ref="C54:G63"/>
    <mergeCell ref="D2:E2"/>
    <mergeCell ref="A5:I5"/>
    <mergeCell ref="A8:A9"/>
    <mergeCell ref="B8:C9"/>
    <mergeCell ref="D8:I8"/>
    <mergeCell ref="A42:I4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7">
      <selection activeCell="J32" sqref="J32"/>
    </sheetView>
  </sheetViews>
  <sheetFormatPr defaultColWidth="9.140625" defaultRowHeight="12.75"/>
  <cols>
    <col min="1" max="1" width="5.00390625" style="282" customWidth="1"/>
    <col min="2" max="2" width="20.421875" style="283" customWidth="1"/>
    <col min="3" max="3" width="27.7109375" style="284" customWidth="1"/>
    <col min="4" max="4" width="11.421875" style="285" customWidth="1"/>
    <col min="5" max="5" width="10.7109375" style="285" customWidth="1"/>
    <col min="6" max="6" width="10.421875" style="285" customWidth="1"/>
    <col min="7" max="8" width="11.00390625" style="285" customWidth="1"/>
    <col min="9" max="9" width="10.57421875" style="285" customWidth="1"/>
    <col min="10" max="16384" width="9.140625" style="282" customWidth="1"/>
  </cols>
  <sheetData>
    <row r="1" ht="15.75">
      <c r="H1" s="286"/>
    </row>
    <row r="2" spans="1:5" ht="18.75">
      <c r="A2" s="287" t="s">
        <v>23</v>
      </c>
      <c r="D2" s="317"/>
      <c r="E2" s="317"/>
    </row>
    <row r="3" ht="2.25" customHeight="1"/>
    <row r="4" ht="21" customHeight="1"/>
    <row r="5" spans="1:9" ht="18.75">
      <c r="A5" s="318" t="s">
        <v>521</v>
      </c>
      <c r="B5" s="318"/>
      <c r="C5" s="318"/>
      <c r="D5" s="318"/>
      <c r="E5" s="318"/>
      <c r="F5" s="318"/>
      <c r="G5" s="318"/>
      <c r="H5" s="318"/>
      <c r="I5" s="318"/>
    </row>
    <row r="6" ht="24" customHeight="1">
      <c r="D6" s="288" t="s">
        <v>522</v>
      </c>
    </row>
    <row r="7" ht="24" customHeight="1">
      <c r="D7" s="288" t="s">
        <v>676</v>
      </c>
    </row>
    <row r="8" spans="1:10" ht="15">
      <c r="A8" s="319" t="s">
        <v>523</v>
      </c>
      <c r="B8" s="320"/>
      <c r="C8" s="320"/>
      <c r="D8" s="321" t="s">
        <v>524</v>
      </c>
      <c r="E8" s="321"/>
      <c r="F8" s="321"/>
      <c r="G8" s="321"/>
      <c r="H8" s="321"/>
      <c r="I8" s="325"/>
      <c r="J8" s="326"/>
    </row>
    <row r="9" spans="1:10" ht="15">
      <c r="A9" s="319"/>
      <c r="B9" s="320"/>
      <c r="C9" s="320"/>
      <c r="D9" s="289">
        <v>2010</v>
      </c>
      <c r="E9" s="289">
        <v>2011</v>
      </c>
      <c r="F9" s="289">
        <v>2012</v>
      </c>
      <c r="G9" s="289">
        <v>2013</v>
      </c>
      <c r="H9" s="289">
        <v>2014</v>
      </c>
      <c r="I9" s="289">
        <v>2015</v>
      </c>
      <c r="J9" s="289">
        <v>2016</v>
      </c>
    </row>
    <row r="10" spans="1:10" ht="30">
      <c r="A10" s="290" t="s">
        <v>525</v>
      </c>
      <c r="B10" s="291"/>
      <c r="C10" s="292" t="s">
        <v>526</v>
      </c>
      <c r="D10" s="293">
        <v>236499</v>
      </c>
      <c r="E10" s="293">
        <v>90354</v>
      </c>
      <c r="F10" s="293">
        <v>110747</v>
      </c>
      <c r="G10" s="293">
        <v>132438</v>
      </c>
      <c r="H10" s="293">
        <v>51993</v>
      </c>
      <c r="I10" s="293">
        <v>62145</v>
      </c>
      <c r="J10" s="293">
        <v>43559</v>
      </c>
    </row>
    <row r="11" spans="1:10" ht="20.25" customHeight="1">
      <c r="A11" s="294" t="s">
        <v>527</v>
      </c>
      <c r="B11" s="295" t="s">
        <v>528</v>
      </c>
      <c r="C11" s="296" t="s">
        <v>529</v>
      </c>
      <c r="D11" s="297">
        <v>321361</v>
      </c>
      <c r="E11" s="297">
        <v>257291</v>
      </c>
      <c r="F11" s="297">
        <v>272074</v>
      </c>
      <c r="G11" s="297">
        <v>290848</v>
      </c>
      <c r="H11" s="297">
        <v>288901</v>
      </c>
      <c r="I11" s="297">
        <v>274101</v>
      </c>
      <c r="J11" s="297">
        <v>271800</v>
      </c>
    </row>
    <row r="12" spans="1:10" ht="19.5" customHeight="1">
      <c r="A12" s="294" t="s">
        <v>530</v>
      </c>
      <c r="B12" s="295" t="s">
        <v>531</v>
      </c>
      <c r="C12" s="296" t="s">
        <v>532</v>
      </c>
      <c r="D12" s="297">
        <v>57587</v>
      </c>
      <c r="E12" s="297">
        <v>66811</v>
      </c>
      <c r="F12" s="297">
        <v>68430</v>
      </c>
      <c r="G12" s="297">
        <v>66861</v>
      </c>
      <c r="H12" s="297">
        <v>53504</v>
      </c>
      <c r="I12" s="297">
        <v>53524</v>
      </c>
      <c r="J12" s="297">
        <v>53612</v>
      </c>
    </row>
    <row r="13" spans="1:10" ht="19.5" customHeight="1">
      <c r="A13" s="294" t="s">
        <v>533</v>
      </c>
      <c r="B13" s="295" t="s">
        <v>534</v>
      </c>
      <c r="C13" s="296" t="s">
        <v>535</v>
      </c>
      <c r="D13" s="297">
        <v>34049</v>
      </c>
      <c r="E13" s="297">
        <v>22969</v>
      </c>
      <c r="F13" s="297">
        <v>16113</v>
      </c>
      <c r="G13" s="297">
        <v>12891</v>
      </c>
      <c r="H13" s="297">
        <v>4950</v>
      </c>
      <c r="I13" s="297">
        <v>200</v>
      </c>
      <c r="J13" s="297">
        <v>500</v>
      </c>
    </row>
    <row r="14" spans="1:10" ht="19.5" customHeight="1">
      <c r="A14" s="294" t="s">
        <v>536</v>
      </c>
      <c r="B14" s="295" t="s">
        <v>537</v>
      </c>
      <c r="C14" s="296" t="s">
        <v>538</v>
      </c>
      <c r="D14" s="297">
        <v>990386</v>
      </c>
      <c r="E14" s="297">
        <v>755821</v>
      </c>
      <c r="F14" s="297">
        <v>83257</v>
      </c>
      <c r="G14" s="297">
        <v>87832</v>
      </c>
      <c r="H14" s="297">
        <v>83765</v>
      </c>
      <c r="I14" s="297">
        <v>52140</v>
      </c>
      <c r="J14" s="297">
        <v>34550</v>
      </c>
    </row>
    <row r="15" spans="1:10" ht="25.5">
      <c r="A15" s="295" t="s">
        <v>539</v>
      </c>
      <c r="B15" s="295" t="s">
        <v>540</v>
      </c>
      <c r="C15" s="296" t="s">
        <v>541</v>
      </c>
      <c r="D15" s="298">
        <f aca="true" t="shared" si="0" ref="D15:I15">D11+D12+D13+D14</f>
        <v>1403383</v>
      </c>
      <c r="E15" s="298">
        <f t="shared" si="0"/>
        <v>1102892</v>
      </c>
      <c r="F15" s="298">
        <f t="shared" si="0"/>
        <v>439874</v>
      </c>
      <c r="G15" s="298">
        <f t="shared" si="0"/>
        <v>458432</v>
      </c>
      <c r="H15" s="298">
        <f t="shared" si="0"/>
        <v>431120</v>
      </c>
      <c r="I15" s="298">
        <f t="shared" si="0"/>
        <v>379965</v>
      </c>
      <c r="J15" s="298">
        <f>J11+J12+J13+J14</f>
        <v>360462</v>
      </c>
    </row>
    <row r="16" spans="1:10" ht="12.75">
      <c r="A16" s="294" t="s">
        <v>542</v>
      </c>
      <c r="B16" s="295"/>
      <c r="C16" s="296" t="s">
        <v>543</v>
      </c>
      <c r="D16" s="297">
        <v>748262</v>
      </c>
      <c r="E16" s="297">
        <v>560739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</row>
    <row r="17" spans="1:10" ht="24.75" customHeight="1">
      <c r="A17" s="294" t="s">
        <v>544</v>
      </c>
      <c r="B17" s="295" t="s">
        <v>545</v>
      </c>
      <c r="C17" s="296" t="s">
        <v>546</v>
      </c>
      <c r="D17" s="298">
        <f aca="true" t="shared" si="1" ref="D17:I17">D15-D16</f>
        <v>655121</v>
      </c>
      <c r="E17" s="298">
        <f t="shared" si="1"/>
        <v>542153</v>
      </c>
      <c r="F17" s="298">
        <f t="shared" si="1"/>
        <v>439874</v>
      </c>
      <c r="G17" s="298">
        <f t="shared" si="1"/>
        <v>458432</v>
      </c>
      <c r="H17" s="298">
        <f t="shared" si="1"/>
        <v>431120</v>
      </c>
      <c r="I17" s="298">
        <f t="shared" si="1"/>
        <v>379965</v>
      </c>
      <c r="J17" s="298">
        <f>J15-J16</f>
        <v>360462</v>
      </c>
    </row>
    <row r="18" spans="1:10" ht="25.5">
      <c r="A18" s="295" t="s">
        <v>547</v>
      </c>
      <c r="B18" s="295"/>
      <c r="C18" s="296" t="s">
        <v>548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</row>
    <row r="19" spans="1:10" ht="18" customHeight="1">
      <c r="A19" s="294" t="s">
        <v>549</v>
      </c>
      <c r="B19" s="295"/>
      <c r="C19" s="296" t="s">
        <v>550</v>
      </c>
      <c r="D19" s="297">
        <v>0</v>
      </c>
      <c r="E19" s="297">
        <v>0</v>
      </c>
      <c r="F19" s="297">
        <v>0</v>
      </c>
      <c r="G19" s="297">
        <v>0</v>
      </c>
      <c r="H19" s="297">
        <v>50000</v>
      </c>
      <c r="I19" s="297">
        <v>0</v>
      </c>
      <c r="J19" s="297">
        <v>0</v>
      </c>
    </row>
    <row r="20" spans="1:10" ht="19.5" customHeight="1">
      <c r="A20" s="294" t="s">
        <v>551</v>
      </c>
      <c r="B20" s="295"/>
      <c r="C20" s="296" t="s">
        <v>552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</row>
    <row r="21" spans="1:10" ht="25.5">
      <c r="A21" s="294" t="s">
        <v>553</v>
      </c>
      <c r="B21" s="295"/>
      <c r="C21" s="296" t="s">
        <v>554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</row>
    <row r="22" spans="1:10" ht="25.5">
      <c r="A22" s="295" t="s">
        <v>555</v>
      </c>
      <c r="B22" s="295"/>
      <c r="C22" s="299" t="s">
        <v>556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</row>
    <row r="23" spans="1:10" ht="12.75">
      <c r="A23" s="294" t="s">
        <v>557</v>
      </c>
      <c r="B23" s="295"/>
      <c r="C23" s="296" t="s">
        <v>558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</row>
    <row r="24" spans="1:10" ht="25.5">
      <c r="A24" s="294" t="s">
        <v>559</v>
      </c>
      <c r="B24" s="299" t="s">
        <v>560</v>
      </c>
      <c r="C24" s="299" t="s">
        <v>561</v>
      </c>
      <c r="D24" s="298">
        <f aca="true" t="shared" si="2" ref="D24:I24">D18+D19+D20+D21+D22+D23</f>
        <v>0</v>
      </c>
      <c r="E24" s="298">
        <f t="shared" si="2"/>
        <v>0</v>
      </c>
      <c r="F24" s="298">
        <f t="shared" si="2"/>
        <v>0</v>
      </c>
      <c r="G24" s="298">
        <f t="shared" si="2"/>
        <v>0</v>
      </c>
      <c r="H24" s="298">
        <f t="shared" si="2"/>
        <v>50000</v>
      </c>
      <c r="I24" s="298">
        <f t="shared" si="2"/>
        <v>0</v>
      </c>
      <c r="J24" s="298">
        <f>J18+J19+J20+J21+J22+J23</f>
        <v>0</v>
      </c>
    </row>
    <row r="25" spans="1:10" ht="29.25" customHeight="1">
      <c r="A25" s="290" t="s">
        <v>562</v>
      </c>
      <c r="B25" s="300" t="s">
        <v>563</v>
      </c>
      <c r="C25" s="301" t="s">
        <v>564</v>
      </c>
      <c r="D25" s="302">
        <f aca="true" t="shared" si="3" ref="D25:I25">D17+D24</f>
        <v>655121</v>
      </c>
      <c r="E25" s="302">
        <f t="shared" si="3"/>
        <v>542153</v>
      </c>
      <c r="F25" s="302">
        <f t="shared" si="3"/>
        <v>439874</v>
      </c>
      <c r="G25" s="302">
        <f t="shared" si="3"/>
        <v>458432</v>
      </c>
      <c r="H25" s="302">
        <f t="shared" si="3"/>
        <v>481120</v>
      </c>
      <c r="I25" s="302">
        <f t="shared" si="3"/>
        <v>379965</v>
      </c>
      <c r="J25" s="302">
        <f>J17+J24</f>
        <v>360462</v>
      </c>
    </row>
    <row r="26" spans="1:10" ht="25.5">
      <c r="A26" s="294" t="s">
        <v>565</v>
      </c>
      <c r="B26" s="295" t="s">
        <v>566</v>
      </c>
      <c r="C26" s="299" t="s">
        <v>567</v>
      </c>
      <c r="D26" s="297">
        <v>1350485</v>
      </c>
      <c r="E26" s="297">
        <v>1030970</v>
      </c>
      <c r="F26" s="297">
        <v>334332</v>
      </c>
      <c r="G26" s="297">
        <v>383825</v>
      </c>
      <c r="H26" s="297">
        <f>361591+1000</f>
        <v>362591</v>
      </c>
      <c r="I26" s="297">
        <f>359361+6900</f>
        <v>366261</v>
      </c>
      <c r="J26" s="297">
        <f>372391+800</f>
        <v>373191</v>
      </c>
    </row>
    <row r="27" spans="1:10" ht="25.5">
      <c r="A27" s="294" t="s">
        <v>568</v>
      </c>
      <c r="B27" s="295" t="s">
        <v>569</v>
      </c>
      <c r="C27" s="299" t="s">
        <v>570</v>
      </c>
      <c r="D27" s="297">
        <v>180617</v>
      </c>
      <c r="E27" s="297">
        <v>33693</v>
      </c>
      <c r="F27" s="297">
        <v>65937</v>
      </c>
      <c r="G27" s="297">
        <f>133320+1700+2000</f>
        <v>137020</v>
      </c>
      <c r="H27" s="297">
        <v>93884</v>
      </c>
      <c r="I27" s="297">
        <v>21000</v>
      </c>
      <c r="J27" s="297">
        <v>5000</v>
      </c>
    </row>
    <row r="28" spans="1:10" ht="25.5">
      <c r="A28" s="295" t="s">
        <v>571</v>
      </c>
      <c r="B28" s="295" t="s">
        <v>572</v>
      </c>
      <c r="C28" s="299" t="s">
        <v>573</v>
      </c>
      <c r="D28" s="298">
        <f aca="true" t="shared" si="4" ref="D28:I28">D26+D27</f>
        <v>1531102</v>
      </c>
      <c r="E28" s="298">
        <f t="shared" si="4"/>
        <v>1064663</v>
      </c>
      <c r="F28" s="298">
        <f t="shared" si="4"/>
        <v>400269</v>
      </c>
      <c r="G28" s="298">
        <f t="shared" si="4"/>
        <v>520845</v>
      </c>
      <c r="H28" s="298">
        <f t="shared" si="4"/>
        <v>456475</v>
      </c>
      <c r="I28" s="298">
        <f t="shared" si="4"/>
        <v>387261</v>
      </c>
      <c r="J28" s="298">
        <f>J26+J27</f>
        <v>378191</v>
      </c>
    </row>
    <row r="29" spans="1:10" ht="18.75" customHeight="1">
      <c r="A29" s="294" t="s">
        <v>574</v>
      </c>
      <c r="B29" s="295"/>
      <c r="C29" s="299" t="s">
        <v>575</v>
      </c>
      <c r="D29" s="297">
        <v>748262</v>
      </c>
      <c r="E29" s="297">
        <v>560739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</row>
    <row r="30" spans="1:10" ht="24" customHeight="1">
      <c r="A30" s="294" t="s">
        <v>576</v>
      </c>
      <c r="B30" s="295" t="s">
        <v>577</v>
      </c>
      <c r="C30" s="299" t="s">
        <v>578</v>
      </c>
      <c r="D30" s="298">
        <f aca="true" t="shared" si="5" ref="D30:I30">D28-D29</f>
        <v>782840</v>
      </c>
      <c r="E30" s="298">
        <f t="shared" si="5"/>
        <v>503924</v>
      </c>
      <c r="F30" s="298">
        <f t="shared" si="5"/>
        <v>400269</v>
      </c>
      <c r="G30" s="298">
        <f t="shared" si="5"/>
        <v>520845</v>
      </c>
      <c r="H30" s="298">
        <f t="shared" si="5"/>
        <v>456475</v>
      </c>
      <c r="I30" s="298">
        <f t="shared" si="5"/>
        <v>387261</v>
      </c>
      <c r="J30" s="298">
        <f>J28-J29</f>
        <v>378191</v>
      </c>
    </row>
    <row r="31" spans="1:10" ht="25.5">
      <c r="A31" s="294" t="s">
        <v>579</v>
      </c>
      <c r="B31" s="295"/>
      <c r="C31" s="299" t="s">
        <v>580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</row>
    <row r="32" spans="1:10" ht="25.5">
      <c r="A32" s="294" t="s">
        <v>581</v>
      </c>
      <c r="B32" s="295"/>
      <c r="C32" s="299" t="s">
        <v>582</v>
      </c>
      <c r="D32" s="297">
        <v>18376</v>
      </c>
      <c r="E32" s="297">
        <v>17805</v>
      </c>
      <c r="F32" s="297">
        <v>17914</v>
      </c>
      <c r="G32" s="297">
        <v>18032</v>
      </c>
      <c r="H32" s="297">
        <v>14493</v>
      </c>
      <c r="I32" s="297">
        <f>5040+6250</f>
        <v>11290</v>
      </c>
      <c r="J32" s="297">
        <f>5040+6250</f>
        <v>11290</v>
      </c>
    </row>
    <row r="33" spans="1:10" ht="25.5">
      <c r="A33" s="294" t="s">
        <v>583</v>
      </c>
      <c r="B33" s="295"/>
      <c r="C33" s="299" t="s">
        <v>584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</row>
    <row r="34" spans="1:10" ht="25.5">
      <c r="A34" s="294" t="s">
        <v>585</v>
      </c>
      <c r="B34" s="295"/>
      <c r="C34" s="299" t="s">
        <v>586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</row>
    <row r="35" spans="1:10" ht="25.5">
      <c r="A35" s="295" t="s">
        <v>587</v>
      </c>
      <c r="B35" s="295"/>
      <c r="C35" s="299" t="s">
        <v>586</v>
      </c>
      <c r="D35" s="297">
        <v>0</v>
      </c>
      <c r="E35" s="297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</row>
    <row r="36" spans="1:10" ht="12.75">
      <c r="A36" s="294" t="s">
        <v>588</v>
      </c>
      <c r="B36" s="295"/>
      <c r="C36" s="299" t="s">
        <v>558</v>
      </c>
      <c r="D36" s="297">
        <v>50</v>
      </c>
      <c r="E36" s="297">
        <v>31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</row>
    <row r="37" spans="1:10" ht="27" customHeight="1">
      <c r="A37" s="294" t="s">
        <v>589</v>
      </c>
      <c r="B37" s="299" t="s">
        <v>590</v>
      </c>
      <c r="C37" s="299" t="s">
        <v>591</v>
      </c>
      <c r="D37" s="298">
        <f aca="true" t="shared" si="6" ref="D37:I37">D31+D32+D33+D34+D35+D36</f>
        <v>18426</v>
      </c>
      <c r="E37" s="298">
        <f t="shared" si="6"/>
        <v>17836</v>
      </c>
      <c r="F37" s="298">
        <f t="shared" si="6"/>
        <v>17914</v>
      </c>
      <c r="G37" s="298">
        <f t="shared" si="6"/>
        <v>18032</v>
      </c>
      <c r="H37" s="298">
        <f t="shared" si="6"/>
        <v>14493</v>
      </c>
      <c r="I37" s="298">
        <f t="shared" si="6"/>
        <v>11290</v>
      </c>
      <c r="J37" s="298">
        <f>J31+J32+J33+J34+J35+J36</f>
        <v>11290</v>
      </c>
    </row>
    <row r="38" spans="1:10" ht="30" customHeight="1">
      <c r="A38" s="300" t="s">
        <v>592</v>
      </c>
      <c r="B38" s="300" t="s">
        <v>593</v>
      </c>
      <c r="C38" s="301" t="s">
        <v>594</v>
      </c>
      <c r="D38" s="302">
        <f aca="true" t="shared" si="7" ref="D38:I38">D30+D37</f>
        <v>801266</v>
      </c>
      <c r="E38" s="302">
        <f t="shared" si="7"/>
        <v>521760</v>
      </c>
      <c r="F38" s="302">
        <f t="shared" si="7"/>
        <v>418183</v>
      </c>
      <c r="G38" s="302">
        <f t="shared" si="7"/>
        <v>538877</v>
      </c>
      <c r="H38" s="302">
        <f t="shared" si="7"/>
        <v>470968</v>
      </c>
      <c r="I38" s="302">
        <f t="shared" si="7"/>
        <v>398551</v>
      </c>
      <c r="J38" s="302">
        <f>J30+J37</f>
        <v>389481</v>
      </c>
    </row>
    <row r="39" spans="1:10" ht="28.5" customHeight="1">
      <c r="A39" s="290" t="s">
        <v>595</v>
      </c>
      <c r="B39" s="300" t="s">
        <v>596</v>
      </c>
      <c r="C39" s="301" t="s">
        <v>597</v>
      </c>
      <c r="D39" s="302">
        <f aca="true" t="shared" si="8" ref="D39:I39">D25-D38</f>
        <v>-146145</v>
      </c>
      <c r="E39" s="302">
        <f t="shared" si="8"/>
        <v>20393</v>
      </c>
      <c r="F39" s="302">
        <f t="shared" si="8"/>
        <v>21691</v>
      </c>
      <c r="G39" s="302">
        <f t="shared" si="8"/>
        <v>-80445</v>
      </c>
      <c r="H39" s="302">
        <f t="shared" si="8"/>
        <v>10152</v>
      </c>
      <c r="I39" s="302">
        <f t="shared" si="8"/>
        <v>-18586</v>
      </c>
      <c r="J39" s="302">
        <f>J25-J38</f>
        <v>-29019</v>
      </c>
    </row>
    <row r="40" spans="1:10" ht="29.25" customHeight="1">
      <c r="A40" s="290" t="s">
        <v>598</v>
      </c>
      <c r="B40" s="300" t="s">
        <v>599</v>
      </c>
      <c r="C40" s="301" t="s">
        <v>600</v>
      </c>
      <c r="D40" s="302">
        <f aca="true" t="shared" si="9" ref="D40:I40">D10+D39</f>
        <v>90354</v>
      </c>
      <c r="E40" s="302">
        <f t="shared" si="9"/>
        <v>110747</v>
      </c>
      <c r="F40" s="302">
        <f t="shared" si="9"/>
        <v>132438</v>
      </c>
      <c r="G40" s="302">
        <f t="shared" si="9"/>
        <v>51993</v>
      </c>
      <c r="H40" s="302">
        <f t="shared" si="9"/>
        <v>62145</v>
      </c>
      <c r="I40" s="302">
        <f t="shared" si="9"/>
        <v>43559</v>
      </c>
      <c r="J40" s="302">
        <f>J10+J39</f>
        <v>14540</v>
      </c>
    </row>
    <row r="42" spans="1:9" ht="12.75" hidden="1">
      <c r="A42" s="322" t="s">
        <v>601</v>
      </c>
      <c r="B42" s="323"/>
      <c r="C42" s="323"/>
      <c r="D42" s="323"/>
      <c r="E42" s="323"/>
      <c r="F42" s="323"/>
      <c r="G42" s="323"/>
      <c r="H42" s="323"/>
      <c r="I42" s="323"/>
    </row>
    <row r="43" spans="1:9" ht="12.75" hidden="1">
      <c r="A43" s="323"/>
      <c r="B43" s="323"/>
      <c r="C43" s="323"/>
      <c r="D43" s="323"/>
      <c r="E43" s="323"/>
      <c r="F43" s="323"/>
      <c r="G43" s="323"/>
      <c r="H43" s="323"/>
      <c r="I43" s="323"/>
    </row>
    <row r="44" spans="1:9" ht="12.75" hidden="1">
      <c r="A44" s="314" t="s">
        <v>602</v>
      </c>
      <c r="B44" s="314"/>
      <c r="C44" s="314"/>
      <c r="D44" s="314"/>
      <c r="E44" s="314"/>
      <c r="F44" s="314"/>
      <c r="G44" s="314"/>
      <c r="H44" s="314"/>
      <c r="I44" s="314"/>
    </row>
    <row r="45" spans="1:9" ht="12.75" hidden="1">
      <c r="A45" s="314"/>
      <c r="B45" s="314"/>
      <c r="C45" s="314"/>
      <c r="D45" s="314"/>
      <c r="E45" s="314"/>
      <c r="F45" s="314"/>
      <c r="G45" s="314"/>
      <c r="H45" s="314"/>
      <c r="I45" s="314"/>
    </row>
    <row r="46" spans="1:9" ht="12.75" hidden="1">
      <c r="A46" s="303"/>
      <c r="B46" s="303"/>
      <c r="C46" s="303"/>
      <c r="D46" s="303"/>
      <c r="E46" s="303"/>
      <c r="F46" s="303"/>
      <c r="G46" s="303"/>
      <c r="H46" s="303"/>
      <c r="I46" s="303"/>
    </row>
    <row r="47" spans="1:9" ht="12.75" hidden="1">
      <c r="A47" s="303"/>
      <c r="B47" s="303"/>
      <c r="C47" s="303"/>
      <c r="D47" s="303"/>
      <c r="E47" s="303"/>
      <c r="F47" s="303"/>
      <c r="G47" s="303"/>
      <c r="H47" s="303"/>
      <c r="I47" s="303"/>
    </row>
    <row r="48" spans="1:9" ht="12.75" hidden="1">
      <c r="A48" s="303"/>
      <c r="B48" s="303"/>
      <c r="C48" s="303"/>
      <c r="D48" s="303"/>
      <c r="E48" s="303"/>
      <c r="F48" s="303"/>
      <c r="G48" s="303"/>
      <c r="H48" s="303"/>
      <c r="I48" s="303"/>
    </row>
    <row r="49" spans="1:9" ht="12.75" hidden="1">
      <c r="A49" s="303"/>
      <c r="B49" s="303"/>
      <c r="C49" s="303"/>
      <c r="D49" s="303"/>
      <c r="E49" s="303"/>
      <c r="F49" s="303"/>
      <c r="G49" s="303"/>
      <c r="H49" s="303"/>
      <c r="I49" s="303"/>
    </row>
    <row r="50" ht="12.75" hidden="1"/>
    <row r="51" ht="12.75" hidden="1"/>
    <row r="52" ht="34.5" customHeight="1" hidden="1"/>
    <row r="53" ht="15" customHeight="1"/>
    <row r="54" spans="2:7" ht="15" customHeight="1" hidden="1">
      <c r="B54" s="315" t="s">
        <v>603</v>
      </c>
      <c r="C54" s="316" t="s">
        <v>604</v>
      </c>
      <c r="D54" s="316"/>
      <c r="E54" s="316"/>
      <c r="F54" s="316"/>
      <c r="G54" s="316"/>
    </row>
    <row r="55" spans="2:7" ht="12.75" hidden="1">
      <c r="B55" s="315"/>
      <c r="C55" s="316"/>
      <c r="D55" s="316"/>
      <c r="E55" s="316"/>
      <c r="F55" s="316"/>
      <c r="G55" s="316"/>
    </row>
    <row r="56" spans="2:7" ht="12.75" hidden="1">
      <c r="B56" s="315"/>
      <c r="C56" s="316"/>
      <c r="D56" s="316"/>
      <c r="E56" s="316"/>
      <c r="F56" s="316"/>
      <c r="G56" s="316"/>
    </row>
    <row r="57" spans="2:7" ht="12.75" hidden="1">
      <c r="B57" s="315"/>
      <c r="C57" s="316"/>
      <c r="D57" s="316"/>
      <c r="E57" s="316"/>
      <c r="F57" s="316"/>
      <c r="G57" s="316"/>
    </row>
    <row r="58" spans="2:7" ht="12.75" hidden="1">
      <c r="B58" s="315"/>
      <c r="C58" s="316"/>
      <c r="D58" s="316"/>
      <c r="E58" s="316"/>
      <c r="F58" s="316"/>
      <c r="G58" s="316"/>
    </row>
    <row r="59" spans="2:7" ht="12.75" hidden="1">
      <c r="B59" s="315"/>
      <c r="C59" s="316"/>
      <c r="D59" s="316"/>
      <c r="E59" s="316"/>
      <c r="F59" s="316"/>
      <c r="G59" s="316"/>
    </row>
    <row r="60" spans="2:7" ht="12.75" hidden="1">
      <c r="B60" s="315"/>
      <c r="C60" s="316"/>
      <c r="D60" s="316"/>
      <c r="E60" s="316"/>
      <c r="F60" s="316"/>
      <c r="G60" s="316"/>
    </row>
    <row r="61" spans="2:7" ht="12.75" hidden="1">
      <c r="B61" s="315"/>
      <c r="C61" s="316"/>
      <c r="D61" s="316"/>
      <c r="E61" s="316"/>
      <c r="F61" s="316"/>
      <c r="G61" s="316"/>
    </row>
    <row r="62" spans="2:7" ht="12.75" hidden="1">
      <c r="B62" s="315"/>
      <c r="C62" s="316"/>
      <c r="D62" s="316"/>
      <c r="E62" s="316"/>
      <c r="F62" s="316"/>
      <c r="G62" s="316"/>
    </row>
    <row r="63" spans="2:7" ht="0.75" customHeight="1" hidden="1">
      <c r="B63" s="315"/>
      <c r="C63" s="316"/>
      <c r="D63" s="316"/>
      <c r="E63" s="316"/>
      <c r="F63" s="316"/>
      <c r="G63" s="316"/>
    </row>
    <row r="64" ht="12.75" hidden="1"/>
  </sheetData>
  <sheetProtection/>
  <mergeCells count="9">
    <mergeCell ref="A44:I45"/>
    <mergeCell ref="B54:B63"/>
    <mergeCell ref="C54:G63"/>
    <mergeCell ref="D2:E2"/>
    <mergeCell ref="A5:I5"/>
    <mergeCell ref="A8:A9"/>
    <mergeCell ref="B8:C9"/>
    <mergeCell ref="D8:I8"/>
    <mergeCell ref="A42:I4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5.00390625" style="282" customWidth="1"/>
    <col min="2" max="2" width="20.421875" style="283" customWidth="1"/>
    <col min="3" max="3" width="27.7109375" style="284" customWidth="1"/>
    <col min="4" max="4" width="11.421875" style="285" customWidth="1"/>
    <col min="5" max="5" width="10.7109375" style="285" customWidth="1"/>
    <col min="6" max="6" width="10.421875" style="285" customWidth="1"/>
    <col min="7" max="8" width="11.00390625" style="285" customWidth="1"/>
    <col min="9" max="9" width="10.57421875" style="285" customWidth="1"/>
    <col min="10" max="16384" width="9.140625" style="282" customWidth="1"/>
  </cols>
  <sheetData>
    <row r="1" ht="15.75">
      <c r="H1" s="286"/>
    </row>
    <row r="2" spans="1:5" ht="18.75">
      <c r="A2" s="287" t="s">
        <v>23</v>
      </c>
      <c r="D2" s="317"/>
      <c r="E2" s="317"/>
    </row>
    <row r="3" ht="2.25" customHeight="1"/>
    <row r="4" ht="21" customHeight="1"/>
    <row r="5" spans="1:9" ht="18.75">
      <c r="A5" s="318" t="s">
        <v>521</v>
      </c>
      <c r="B5" s="318"/>
      <c r="C5" s="318"/>
      <c r="D5" s="318"/>
      <c r="E5" s="318"/>
      <c r="F5" s="318"/>
      <c r="G5" s="318"/>
      <c r="H5" s="318"/>
      <c r="I5" s="318"/>
    </row>
    <row r="6" ht="24" customHeight="1">
      <c r="D6" s="288" t="s">
        <v>522</v>
      </c>
    </row>
    <row r="7" ht="24" customHeight="1">
      <c r="D7" s="288" t="s">
        <v>677</v>
      </c>
    </row>
    <row r="8" spans="1:10" ht="15">
      <c r="A8" s="319" t="s">
        <v>523</v>
      </c>
      <c r="B8" s="320"/>
      <c r="C8" s="320"/>
      <c r="D8" s="321" t="s">
        <v>524</v>
      </c>
      <c r="E8" s="321"/>
      <c r="F8" s="321"/>
      <c r="G8" s="321"/>
      <c r="H8" s="321"/>
      <c r="I8" s="325"/>
      <c r="J8" s="326"/>
    </row>
    <row r="9" spans="1:10" ht="15">
      <c r="A9" s="319"/>
      <c r="B9" s="320"/>
      <c r="C9" s="320"/>
      <c r="D9" s="289">
        <v>2010</v>
      </c>
      <c r="E9" s="289">
        <v>2011</v>
      </c>
      <c r="F9" s="289">
        <v>2012</v>
      </c>
      <c r="G9" s="289">
        <v>2013</v>
      </c>
      <c r="H9" s="289">
        <v>2014</v>
      </c>
      <c r="I9" s="289">
        <v>2015</v>
      </c>
      <c r="J9" s="289">
        <v>2016</v>
      </c>
    </row>
    <row r="10" spans="1:10" ht="30">
      <c r="A10" s="290" t="s">
        <v>525</v>
      </c>
      <c r="B10" s="291"/>
      <c r="C10" s="292" t="s">
        <v>526</v>
      </c>
      <c r="D10" s="293">
        <v>236499</v>
      </c>
      <c r="E10" s="293">
        <v>90354</v>
      </c>
      <c r="F10" s="293">
        <v>110747</v>
      </c>
      <c r="G10" s="293">
        <v>132438</v>
      </c>
      <c r="H10" s="293">
        <v>51993</v>
      </c>
      <c r="I10" s="293">
        <v>111145</v>
      </c>
      <c r="J10" s="293">
        <v>85409</v>
      </c>
    </row>
    <row r="11" spans="1:10" ht="20.25" customHeight="1">
      <c r="A11" s="294" t="s">
        <v>527</v>
      </c>
      <c r="B11" s="295" t="s">
        <v>528</v>
      </c>
      <c r="C11" s="296" t="s">
        <v>529</v>
      </c>
      <c r="D11" s="297">
        <v>321361</v>
      </c>
      <c r="E11" s="297">
        <v>257291</v>
      </c>
      <c r="F11" s="297">
        <v>272074</v>
      </c>
      <c r="G11" s="297">
        <v>290848</v>
      </c>
      <c r="H11" s="297">
        <v>288901</v>
      </c>
      <c r="I11" s="297">
        <v>274101</v>
      </c>
      <c r="J11" s="297">
        <v>271800</v>
      </c>
    </row>
    <row r="12" spans="1:10" ht="19.5" customHeight="1">
      <c r="A12" s="294" t="s">
        <v>530</v>
      </c>
      <c r="B12" s="295" t="s">
        <v>531</v>
      </c>
      <c r="C12" s="296" t="s">
        <v>532</v>
      </c>
      <c r="D12" s="297">
        <v>57587</v>
      </c>
      <c r="E12" s="297">
        <v>66811</v>
      </c>
      <c r="F12" s="297">
        <v>68430</v>
      </c>
      <c r="G12" s="297">
        <v>66861</v>
      </c>
      <c r="H12" s="297">
        <v>53504</v>
      </c>
      <c r="I12" s="297">
        <v>53524</v>
      </c>
      <c r="J12" s="297">
        <v>53612</v>
      </c>
    </row>
    <row r="13" spans="1:10" ht="19.5" customHeight="1">
      <c r="A13" s="294" t="s">
        <v>533</v>
      </c>
      <c r="B13" s="295" t="s">
        <v>534</v>
      </c>
      <c r="C13" s="296" t="s">
        <v>535</v>
      </c>
      <c r="D13" s="297">
        <v>34049</v>
      </c>
      <c r="E13" s="297">
        <v>22969</v>
      </c>
      <c r="F13" s="297">
        <v>16113</v>
      </c>
      <c r="G13" s="297">
        <v>12891</v>
      </c>
      <c r="H13" s="297">
        <v>4950</v>
      </c>
      <c r="I13" s="297">
        <v>200</v>
      </c>
      <c r="J13" s="297">
        <v>500</v>
      </c>
    </row>
    <row r="14" spans="1:10" ht="19.5" customHeight="1">
      <c r="A14" s="294" t="s">
        <v>536</v>
      </c>
      <c r="B14" s="295" t="s">
        <v>537</v>
      </c>
      <c r="C14" s="296" t="s">
        <v>538</v>
      </c>
      <c r="D14" s="297">
        <v>990386</v>
      </c>
      <c r="E14" s="297">
        <v>755821</v>
      </c>
      <c r="F14" s="297">
        <v>83257</v>
      </c>
      <c r="G14" s="297">
        <v>87832</v>
      </c>
      <c r="H14" s="297">
        <v>83765</v>
      </c>
      <c r="I14" s="297">
        <v>52140</v>
      </c>
      <c r="J14" s="297">
        <v>34550</v>
      </c>
    </row>
    <row r="15" spans="1:10" ht="25.5">
      <c r="A15" s="295" t="s">
        <v>539</v>
      </c>
      <c r="B15" s="295" t="s">
        <v>540</v>
      </c>
      <c r="C15" s="296" t="s">
        <v>541</v>
      </c>
      <c r="D15" s="298">
        <f aca="true" t="shared" si="0" ref="D15:I15">D11+D12+D13+D14</f>
        <v>1403383</v>
      </c>
      <c r="E15" s="298">
        <f t="shared" si="0"/>
        <v>1102892</v>
      </c>
      <c r="F15" s="298">
        <f t="shared" si="0"/>
        <v>439874</v>
      </c>
      <c r="G15" s="298">
        <f t="shared" si="0"/>
        <v>458432</v>
      </c>
      <c r="H15" s="298">
        <f t="shared" si="0"/>
        <v>431120</v>
      </c>
      <c r="I15" s="298">
        <f t="shared" si="0"/>
        <v>379965</v>
      </c>
      <c r="J15" s="298">
        <f>J11+J12+J13+J14</f>
        <v>360462</v>
      </c>
    </row>
    <row r="16" spans="1:10" ht="12.75">
      <c r="A16" s="294" t="s">
        <v>542</v>
      </c>
      <c r="B16" s="295"/>
      <c r="C16" s="296" t="s">
        <v>543</v>
      </c>
      <c r="D16" s="297">
        <v>748262</v>
      </c>
      <c r="E16" s="297">
        <v>560739</v>
      </c>
      <c r="F16" s="297">
        <v>0</v>
      </c>
      <c r="G16" s="297">
        <v>0</v>
      </c>
      <c r="H16" s="297">
        <v>0</v>
      </c>
      <c r="I16" s="297">
        <v>0</v>
      </c>
      <c r="J16" s="297">
        <v>0</v>
      </c>
    </row>
    <row r="17" spans="1:10" ht="24.75" customHeight="1">
      <c r="A17" s="294" t="s">
        <v>544</v>
      </c>
      <c r="B17" s="295" t="s">
        <v>545</v>
      </c>
      <c r="C17" s="296" t="s">
        <v>546</v>
      </c>
      <c r="D17" s="298">
        <f aca="true" t="shared" si="1" ref="D17:I17">D15-D16</f>
        <v>655121</v>
      </c>
      <c r="E17" s="298">
        <f t="shared" si="1"/>
        <v>542153</v>
      </c>
      <c r="F17" s="298">
        <f t="shared" si="1"/>
        <v>439874</v>
      </c>
      <c r="G17" s="298">
        <f t="shared" si="1"/>
        <v>458432</v>
      </c>
      <c r="H17" s="298">
        <f t="shared" si="1"/>
        <v>431120</v>
      </c>
      <c r="I17" s="298">
        <f t="shared" si="1"/>
        <v>379965</v>
      </c>
      <c r="J17" s="298">
        <f>J15-J16</f>
        <v>360462</v>
      </c>
    </row>
    <row r="18" spans="1:10" ht="25.5">
      <c r="A18" s="295" t="s">
        <v>547</v>
      </c>
      <c r="B18" s="295"/>
      <c r="C18" s="296" t="s">
        <v>548</v>
      </c>
      <c r="D18" s="297">
        <v>0</v>
      </c>
      <c r="E18" s="297">
        <v>0</v>
      </c>
      <c r="F18" s="297">
        <v>0</v>
      </c>
      <c r="G18" s="297">
        <v>0</v>
      </c>
      <c r="H18" s="297">
        <v>0</v>
      </c>
      <c r="I18" s="297">
        <v>0</v>
      </c>
      <c r="J18" s="297">
        <v>0</v>
      </c>
    </row>
    <row r="19" spans="1:10" ht="18" customHeight="1">
      <c r="A19" s="294" t="s">
        <v>549</v>
      </c>
      <c r="B19" s="295"/>
      <c r="C19" s="296" t="s">
        <v>550</v>
      </c>
      <c r="D19" s="297">
        <v>0</v>
      </c>
      <c r="E19" s="297">
        <v>0</v>
      </c>
      <c r="F19" s="297">
        <v>0</v>
      </c>
      <c r="G19" s="297">
        <v>0</v>
      </c>
      <c r="H19" s="297">
        <v>100000</v>
      </c>
      <c r="I19" s="297">
        <v>0</v>
      </c>
      <c r="J19" s="297">
        <v>0</v>
      </c>
    </row>
    <row r="20" spans="1:10" ht="19.5" customHeight="1">
      <c r="A20" s="294" t="s">
        <v>551</v>
      </c>
      <c r="B20" s="295"/>
      <c r="C20" s="296" t="s">
        <v>552</v>
      </c>
      <c r="D20" s="297">
        <v>0</v>
      </c>
      <c r="E20" s="297">
        <v>0</v>
      </c>
      <c r="F20" s="297">
        <v>0</v>
      </c>
      <c r="G20" s="297">
        <v>0</v>
      </c>
      <c r="H20" s="297">
        <v>0</v>
      </c>
      <c r="I20" s="297">
        <v>0</v>
      </c>
      <c r="J20" s="297">
        <v>0</v>
      </c>
    </row>
    <row r="21" spans="1:10" ht="25.5">
      <c r="A21" s="294" t="s">
        <v>553</v>
      </c>
      <c r="B21" s="295"/>
      <c r="C21" s="296" t="s">
        <v>554</v>
      </c>
      <c r="D21" s="297">
        <v>0</v>
      </c>
      <c r="E21" s="297">
        <v>0</v>
      </c>
      <c r="F21" s="297">
        <v>0</v>
      </c>
      <c r="G21" s="297">
        <v>0</v>
      </c>
      <c r="H21" s="297">
        <v>0</v>
      </c>
      <c r="I21" s="297">
        <v>0</v>
      </c>
      <c r="J21" s="297">
        <v>0</v>
      </c>
    </row>
    <row r="22" spans="1:10" ht="25.5">
      <c r="A22" s="295" t="s">
        <v>555</v>
      </c>
      <c r="B22" s="295"/>
      <c r="C22" s="299" t="s">
        <v>556</v>
      </c>
      <c r="D22" s="297">
        <v>0</v>
      </c>
      <c r="E22" s="297">
        <v>0</v>
      </c>
      <c r="F22" s="297">
        <v>0</v>
      </c>
      <c r="G22" s="297">
        <v>0</v>
      </c>
      <c r="H22" s="297">
        <v>0</v>
      </c>
      <c r="I22" s="297">
        <v>0</v>
      </c>
      <c r="J22" s="297">
        <v>0</v>
      </c>
    </row>
    <row r="23" spans="1:10" ht="12.75">
      <c r="A23" s="294" t="s">
        <v>557</v>
      </c>
      <c r="B23" s="295"/>
      <c r="C23" s="296" t="s">
        <v>558</v>
      </c>
      <c r="D23" s="297">
        <v>0</v>
      </c>
      <c r="E23" s="297">
        <v>0</v>
      </c>
      <c r="F23" s="297">
        <v>0</v>
      </c>
      <c r="G23" s="297">
        <v>0</v>
      </c>
      <c r="H23" s="297">
        <v>0</v>
      </c>
      <c r="I23" s="297">
        <v>0</v>
      </c>
      <c r="J23" s="297">
        <v>0</v>
      </c>
    </row>
    <row r="24" spans="1:10" ht="25.5">
      <c r="A24" s="294" t="s">
        <v>559</v>
      </c>
      <c r="B24" s="299" t="s">
        <v>560</v>
      </c>
      <c r="C24" s="299" t="s">
        <v>561</v>
      </c>
      <c r="D24" s="298">
        <f aca="true" t="shared" si="2" ref="D24:I24">D18+D19+D20+D21+D22+D23</f>
        <v>0</v>
      </c>
      <c r="E24" s="298">
        <f t="shared" si="2"/>
        <v>0</v>
      </c>
      <c r="F24" s="298">
        <f t="shared" si="2"/>
        <v>0</v>
      </c>
      <c r="G24" s="298">
        <f t="shared" si="2"/>
        <v>0</v>
      </c>
      <c r="H24" s="298">
        <f t="shared" si="2"/>
        <v>100000</v>
      </c>
      <c r="I24" s="298">
        <f t="shared" si="2"/>
        <v>0</v>
      </c>
      <c r="J24" s="298">
        <f>J18+J19+J20+J21+J22+J23</f>
        <v>0</v>
      </c>
    </row>
    <row r="25" spans="1:10" ht="29.25" customHeight="1">
      <c r="A25" s="290" t="s">
        <v>562</v>
      </c>
      <c r="B25" s="300" t="s">
        <v>563</v>
      </c>
      <c r="C25" s="301" t="s">
        <v>564</v>
      </c>
      <c r="D25" s="302">
        <f aca="true" t="shared" si="3" ref="D25:I25">D17+D24</f>
        <v>655121</v>
      </c>
      <c r="E25" s="302">
        <f t="shared" si="3"/>
        <v>542153</v>
      </c>
      <c r="F25" s="302">
        <f t="shared" si="3"/>
        <v>439874</v>
      </c>
      <c r="G25" s="302">
        <f t="shared" si="3"/>
        <v>458432</v>
      </c>
      <c r="H25" s="302">
        <f t="shared" si="3"/>
        <v>531120</v>
      </c>
      <c r="I25" s="302">
        <f t="shared" si="3"/>
        <v>379965</v>
      </c>
      <c r="J25" s="302">
        <f>J17+J24</f>
        <v>360462</v>
      </c>
    </row>
    <row r="26" spans="1:10" ht="25.5">
      <c r="A26" s="294" t="s">
        <v>565</v>
      </c>
      <c r="B26" s="295" t="s">
        <v>566</v>
      </c>
      <c r="C26" s="299" t="s">
        <v>567</v>
      </c>
      <c r="D26" s="297">
        <v>1350485</v>
      </c>
      <c r="E26" s="297">
        <v>1030970</v>
      </c>
      <c r="F26" s="297">
        <v>334332</v>
      </c>
      <c r="G26" s="297">
        <v>383825</v>
      </c>
      <c r="H26" s="297">
        <f>361591+2000</f>
        <v>363591</v>
      </c>
      <c r="I26" s="297">
        <f>365361+1800</f>
        <v>367161</v>
      </c>
      <c r="J26" s="297">
        <f>372391+1600</f>
        <v>373991</v>
      </c>
    </row>
    <row r="27" spans="1:10" ht="25.5">
      <c r="A27" s="294" t="s">
        <v>568</v>
      </c>
      <c r="B27" s="295" t="s">
        <v>569</v>
      </c>
      <c r="C27" s="299" t="s">
        <v>570</v>
      </c>
      <c r="D27" s="297">
        <v>180617</v>
      </c>
      <c r="E27" s="297">
        <v>33693</v>
      </c>
      <c r="F27" s="297">
        <v>65937</v>
      </c>
      <c r="G27" s="297">
        <f>133320+1700+2000</f>
        <v>137020</v>
      </c>
      <c r="H27" s="297">
        <v>93884</v>
      </c>
      <c r="I27" s="297">
        <v>21000</v>
      </c>
      <c r="J27" s="297">
        <v>5000</v>
      </c>
    </row>
    <row r="28" spans="1:10" ht="25.5">
      <c r="A28" s="295" t="s">
        <v>571</v>
      </c>
      <c r="B28" s="295" t="s">
        <v>572</v>
      </c>
      <c r="C28" s="299" t="s">
        <v>573</v>
      </c>
      <c r="D28" s="298">
        <f aca="true" t="shared" si="4" ref="D28:I28">D26+D27</f>
        <v>1531102</v>
      </c>
      <c r="E28" s="298">
        <f t="shared" si="4"/>
        <v>1064663</v>
      </c>
      <c r="F28" s="298">
        <f t="shared" si="4"/>
        <v>400269</v>
      </c>
      <c r="G28" s="298">
        <f t="shared" si="4"/>
        <v>520845</v>
      </c>
      <c r="H28" s="298">
        <f t="shared" si="4"/>
        <v>457475</v>
      </c>
      <c r="I28" s="298">
        <f t="shared" si="4"/>
        <v>388161</v>
      </c>
      <c r="J28" s="298">
        <f>J26+J27</f>
        <v>378991</v>
      </c>
    </row>
    <row r="29" spans="1:10" ht="18.75" customHeight="1">
      <c r="A29" s="294" t="s">
        <v>574</v>
      </c>
      <c r="B29" s="295"/>
      <c r="C29" s="299" t="s">
        <v>575</v>
      </c>
      <c r="D29" s="297">
        <v>748262</v>
      </c>
      <c r="E29" s="297">
        <v>560739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</row>
    <row r="30" spans="1:10" ht="24" customHeight="1">
      <c r="A30" s="294" t="s">
        <v>576</v>
      </c>
      <c r="B30" s="295" t="s">
        <v>577</v>
      </c>
      <c r="C30" s="299" t="s">
        <v>578</v>
      </c>
      <c r="D30" s="298">
        <f aca="true" t="shared" si="5" ref="D30:I30">D28-D29</f>
        <v>782840</v>
      </c>
      <c r="E30" s="298">
        <f t="shared" si="5"/>
        <v>503924</v>
      </c>
      <c r="F30" s="298">
        <f t="shared" si="5"/>
        <v>400269</v>
      </c>
      <c r="G30" s="298">
        <f t="shared" si="5"/>
        <v>520845</v>
      </c>
      <c r="H30" s="298">
        <f t="shared" si="5"/>
        <v>457475</v>
      </c>
      <c r="I30" s="298">
        <f t="shared" si="5"/>
        <v>388161</v>
      </c>
      <c r="J30" s="298">
        <f>J28-J29</f>
        <v>378991</v>
      </c>
    </row>
    <row r="31" spans="1:10" ht="25.5">
      <c r="A31" s="294" t="s">
        <v>579</v>
      </c>
      <c r="B31" s="295"/>
      <c r="C31" s="299" t="s">
        <v>580</v>
      </c>
      <c r="D31" s="297">
        <v>0</v>
      </c>
      <c r="E31" s="297">
        <v>0</v>
      </c>
      <c r="F31" s="297">
        <v>0</v>
      </c>
      <c r="G31" s="297">
        <v>0</v>
      </c>
      <c r="H31" s="297">
        <v>0</v>
      </c>
      <c r="I31" s="297">
        <v>0</v>
      </c>
      <c r="J31" s="297">
        <v>0</v>
      </c>
    </row>
    <row r="32" spans="1:10" ht="25.5">
      <c r="A32" s="294" t="s">
        <v>581</v>
      </c>
      <c r="B32" s="295"/>
      <c r="C32" s="299" t="s">
        <v>582</v>
      </c>
      <c r="D32" s="297">
        <v>18376</v>
      </c>
      <c r="E32" s="297">
        <v>17805</v>
      </c>
      <c r="F32" s="297">
        <v>17914</v>
      </c>
      <c r="G32" s="297">
        <v>18032</v>
      </c>
      <c r="H32" s="297">
        <v>14493</v>
      </c>
      <c r="I32" s="297">
        <f>5040+12500</f>
        <v>17540</v>
      </c>
      <c r="J32" s="297">
        <f>5040+12500</f>
        <v>17540</v>
      </c>
    </row>
    <row r="33" spans="1:10" ht="25.5">
      <c r="A33" s="294" t="s">
        <v>583</v>
      </c>
      <c r="B33" s="295"/>
      <c r="C33" s="299" t="s">
        <v>584</v>
      </c>
      <c r="D33" s="297">
        <v>0</v>
      </c>
      <c r="E33" s="297">
        <v>0</v>
      </c>
      <c r="F33" s="297">
        <v>0</v>
      </c>
      <c r="G33" s="297">
        <v>0</v>
      </c>
      <c r="H33" s="297">
        <v>0</v>
      </c>
      <c r="I33" s="297">
        <v>0</v>
      </c>
      <c r="J33" s="297">
        <v>0</v>
      </c>
    </row>
    <row r="34" spans="1:10" ht="25.5">
      <c r="A34" s="294" t="s">
        <v>585</v>
      </c>
      <c r="B34" s="295"/>
      <c r="C34" s="299" t="s">
        <v>586</v>
      </c>
      <c r="D34" s="297">
        <v>0</v>
      </c>
      <c r="E34" s="297">
        <v>0</v>
      </c>
      <c r="F34" s="297">
        <v>0</v>
      </c>
      <c r="G34" s="297">
        <v>0</v>
      </c>
      <c r="H34" s="297">
        <v>0</v>
      </c>
      <c r="I34" s="297">
        <v>0</v>
      </c>
      <c r="J34" s="297">
        <v>0</v>
      </c>
    </row>
    <row r="35" spans="1:10" ht="25.5">
      <c r="A35" s="295" t="s">
        <v>587</v>
      </c>
      <c r="B35" s="295"/>
      <c r="C35" s="299" t="s">
        <v>586</v>
      </c>
      <c r="D35" s="297">
        <v>0</v>
      </c>
      <c r="E35" s="297">
        <v>0</v>
      </c>
      <c r="F35" s="297">
        <v>0</v>
      </c>
      <c r="G35" s="297">
        <v>0</v>
      </c>
      <c r="H35" s="297">
        <v>0</v>
      </c>
      <c r="I35" s="297">
        <v>0</v>
      </c>
      <c r="J35" s="297">
        <v>0</v>
      </c>
    </row>
    <row r="36" spans="1:10" ht="12.75">
      <c r="A36" s="294" t="s">
        <v>588</v>
      </c>
      <c r="B36" s="295"/>
      <c r="C36" s="299" t="s">
        <v>558</v>
      </c>
      <c r="D36" s="297">
        <v>50</v>
      </c>
      <c r="E36" s="297">
        <v>31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</row>
    <row r="37" spans="1:10" ht="27" customHeight="1">
      <c r="A37" s="294" t="s">
        <v>589</v>
      </c>
      <c r="B37" s="299" t="s">
        <v>590</v>
      </c>
      <c r="C37" s="299" t="s">
        <v>591</v>
      </c>
      <c r="D37" s="298">
        <f aca="true" t="shared" si="6" ref="D37:I37">D31+D32+D33+D34+D35+D36</f>
        <v>18426</v>
      </c>
      <c r="E37" s="298">
        <f t="shared" si="6"/>
        <v>17836</v>
      </c>
      <c r="F37" s="298">
        <f t="shared" si="6"/>
        <v>17914</v>
      </c>
      <c r="G37" s="298">
        <f t="shared" si="6"/>
        <v>18032</v>
      </c>
      <c r="H37" s="298">
        <f t="shared" si="6"/>
        <v>14493</v>
      </c>
      <c r="I37" s="298">
        <f t="shared" si="6"/>
        <v>17540</v>
      </c>
      <c r="J37" s="298">
        <f>J31+J32+J33+J34+J35+J36</f>
        <v>17540</v>
      </c>
    </row>
    <row r="38" spans="1:10" ht="30" customHeight="1">
      <c r="A38" s="300" t="s">
        <v>592</v>
      </c>
      <c r="B38" s="300" t="s">
        <v>593</v>
      </c>
      <c r="C38" s="301" t="s">
        <v>594</v>
      </c>
      <c r="D38" s="302">
        <f aca="true" t="shared" si="7" ref="D38:I38">D30+D37</f>
        <v>801266</v>
      </c>
      <c r="E38" s="302">
        <f t="shared" si="7"/>
        <v>521760</v>
      </c>
      <c r="F38" s="302">
        <f t="shared" si="7"/>
        <v>418183</v>
      </c>
      <c r="G38" s="302">
        <f t="shared" si="7"/>
        <v>538877</v>
      </c>
      <c r="H38" s="302">
        <f t="shared" si="7"/>
        <v>471968</v>
      </c>
      <c r="I38" s="302">
        <f t="shared" si="7"/>
        <v>405701</v>
      </c>
      <c r="J38" s="302">
        <f>J30+J37</f>
        <v>396531</v>
      </c>
    </row>
    <row r="39" spans="1:10" ht="28.5" customHeight="1">
      <c r="A39" s="290" t="s">
        <v>595</v>
      </c>
      <c r="B39" s="300" t="s">
        <v>596</v>
      </c>
      <c r="C39" s="301" t="s">
        <v>597</v>
      </c>
      <c r="D39" s="302">
        <f aca="true" t="shared" si="8" ref="D39:I39">D25-D38</f>
        <v>-146145</v>
      </c>
      <c r="E39" s="302">
        <f t="shared" si="8"/>
        <v>20393</v>
      </c>
      <c r="F39" s="302">
        <f t="shared" si="8"/>
        <v>21691</v>
      </c>
      <c r="G39" s="302">
        <f t="shared" si="8"/>
        <v>-80445</v>
      </c>
      <c r="H39" s="302">
        <f t="shared" si="8"/>
        <v>59152</v>
      </c>
      <c r="I39" s="302">
        <f t="shared" si="8"/>
        <v>-25736</v>
      </c>
      <c r="J39" s="302">
        <f>J25-J38</f>
        <v>-36069</v>
      </c>
    </row>
    <row r="40" spans="1:10" ht="29.25" customHeight="1">
      <c r="A40" s="290" t="s">
        <v>598</v>
      </c>
      <c r="B40" s="300" t="s">
        <v>599</v>
      </c>
      <c r="C40" s="301" t="s">
        <v>600</v>
      </c>
      <c r="D40" s="302">
        <f aca="true" t="shared" si="9" ref="D40:I40">D10+D39</f>
        <v>90354</v>
      </c>
      <c r="E40" s="302">
        <f t="shared" si="9"/>
        <v>110747</v>
      </c>
      <c r="F40" s="302">
        <f t="shared" si="9"/>
        <v>132438</v>
      </c>
      <c r="G40" s="302">
        <f t="shared" si="9"/>
        <v>51993</v>
      </c>
      <c r="H40" s="302">
        <f t="shared" si="9"/>
        <v>111145</v>
      </c>
      <c r="I40" s="302">
        <f t="shared" si="9"/>
        <v>85409</v>
      </c>
      <c r="J40" s="302">
        <f>J10+J39</f>
        <v>49340</v>
      </c>
    </row>
    <row r="42" spans="1:9" ht="12.75" hidden="1">
      <c r="A42" s="322" t="s">
        <v>601</v>
      </c>
      <c r="B42" s="323"/>
      <c r="C42" s="323"/>
      <c r="D42" s="323"/>
      <c r="E42" s="323"/>
      <c r="F42" s="323"/>
      <c r="G42" s="323"/>
      <c r="H42" s="323"/>
      <c r="I42" s="323"/>
    </row>
    <row r="43" spans="1:9" ht="12.75" hidden="1">
      <c r="A43" s="323"/>
      <c r="B43" s="323"/>
      <c r="C43" s="323"/>
      <c r="D43" s="323"/>
      <c r="E43" s="323"/>
      <c r="F43" s="323"/>
      <c r="G43" s="323"/>
      <c r="H43" s="323"/>
      <c r="I43" s="323"/>
    </row>
    <row r="44" spans="1:9" ht="12.75" hidden="1">
      <c r="A44" s="314" t="s">
        <v>602</v>
      </c>
      <c r="B44" s="314"/>
      <c r="C44" s="314"/>
      <c r="D44" s="314"/>
      <c r="E44" s="314"/>
      <c r="F44" s="314"/>
      <c r="G44" s="314"/>
      <c r="H44" s="314"/>
      <c r="I44" s="314"/>
    </row>
    <row r="45" spans="1:9" ht="12.75" hidden="1">
      <c r="A45" s="314"/>
      <c r="B45" s="314"/>
      <c r="C45" s="314"/>
      <c r="D45" s="314"/>
      <c r="E45" s="314"/>
      <c r="F45" s="314"/>
      <c r="G45" s="314"/>
      <c r="H45" s="314"/>
      <c r="I45" s="314"/>
    </row>
    <row r="46" spans="1:9" ht="12.75" hidden="1">
      <c r="A46" s="303"/>
      <c r="B46" s="303"/>
      <c r="C46" s="303"/>
      <c r="D46" s="303"/>
      <c r="E46" s="303"/>
      <c r="F46" s="303"/>
      <c r="G46" s="303"/>
      <c r="H46" s="303"/>
      <c r="I46" s="303"/>
    </row>
    <row r="47" spans="1:9" ht="12.75" hidden="1">
      <c r="A47" s="303"/>
      <c r="B47" s="303"/>
      <c r="C47" s="303"/>
      <c r="D47" s="303"/>
      <c r="E47" s="303"/>
      <c r="F47" s="303"/>
      <c r="G47" s="303"/>
      <c r="H47" s="303"/>
      <c r="I47" s="303"/>
    </row>
    <row r="48" spans="1:9" ht="12.75" hidden="1">
      <c r="A48" s="303"/>
      <c r="B48" s="303"/>
      <c r="C48" s="303"/>
      <c r="D48" s="303"/>
      <c r="E48" s="303"/>
      <c r="F48" s="303"/>
      <c r="G48" s="303"/>
      <c r="H48" s="303"/>
      <c r="I48" s="303"/>
    </row>
    <row r="49" spans="1:9" ht="12.75" hidden="1">
      <c r="A49" s="303"/>
      <c r="B49" s="303"/>
      <c r="C49" s="303"/>
      <c r="D49" s="303"/>
      <c r="E49" s="303"/>
      <c r="F49" s="303"/>
      <c r="G49" s="303"/>
      <c r="H49" s="303"/>
      <c r="I49" s="303"/>
    </row>
    <row r="50" ht="12.75" hidden="1"/>
    <row r="51" ht="12.75" hidden="1"/>
    <row r="52" ht="34.5" customHeight="1" hidden="1"/>
    <row r="53" ht="15" customHeight="1"/>
    <row r="54" spans="2:7" ht="15" customHeight="1" hidden="1">
      <c r="B54" s="315" t="s">
        <v>603</v>
      </c>
      <c r="C54" s="316" t="s">
        <v>604</v>
      </c>
      <c r="D54" s="316"/>
      <c r="E54" s="316"/>
      <c r="F54" s="316"/>
      <c r="G54" s="316"/>
    </row>
    <row r="55" spans="2:7" ht="12.75" hidden="1">
      <c r="B55" s="315"/>
      <c r="C55" s="316"/>
      <c r="D55" s="316"/>
      <c r="E55" s="316"/>
      <c r="F55" s="316"/>
      <c r="G55" s="316"/>
    </row>
    <row r="56" spans="2:7" ht="12.75" hidden="1">
      <c r="B56" s="315"/>
      <c r="C56" s="316"/>
      <c r="D56" s="316"/>
      <c r="E56" s="316"/>
      <c r="F56" s="316"/>
      <c r="G56" s="316"/>
    </row>
    <row r="57" spans="2:7" ht="12.75" hidden="1">
      <c r="B57" s="315"/>
      <c r="C57" s="316"/>
      <c r="D57" s="316"/>
      <c r="E57" s="316"/>
      <c r="F57" s="316"/>
      <c r="G57" s="316"/>
    </row>
    <row r="58" spans="2:7" ht="12.75" hidden="1">
      <c r="B58" s="315"/>
      <c r="C58" s="316"/>
      <c r="D58" s="316"/>
      <c r="E58" s="316"/>
      <c r="F58" s="316"/>
      <c r="G58" s="316"/>
    </row>
    <row r="59" spans="2:7" ht="12.75" hidden="1">
      <c r="B59" s="315"/>
      <c r="C59" s="316"/>
      <c r="D59" s="316"/>
      <c r="E59" s="316"/>
      <c r="F59" s="316"/>
      <c r="G59" s="316"/>
    </row>
    <row r="60" spans="2:7" ht="12.75" hidden="1">
      <c r="B60" s="315"/>
      <c r="C60" s="316"/>
      <c r="D60" s="316"/>
      <c r="E60" s="316"/>
      <c r="F60" s="316"/>
      <c r="G60" s="316"/>
    </row>
    <row r="61" spans="2:7" ht="12.75" hidden="1">
      <c r="B61" s="315"/>
      <c r="C61" s="316"/>
      <c r="D61" s="316"/>
      <c r="E61" s="316"/>
      <c r="F61" s="316"/>
      <c r="G61" s="316"/>
    </row>
    <row r="62" spans="2:7" ht="12.75" hidden="1">
      <c r="B62" s="315"/>
      <c r="C62" s="316"/>
      <c r="D62" s="316"/>
      <c r="E62" s="316"/>
      <c r="F62" s="316"/>
      <c r="G62" s="316"/>
    </row>
    <row r="63" spans="2:7" ht="0.75" customHeight="1" hidden="1">
      <c r="B63" s="315"/>
      <c r="C63" s="316"/>
      <c r="D63" s="316"/>
      <c r="E63" s="316"/>
      <c r="F63" s="316"/>
      <c r="G63" s="316"/>
    </row>
    <row r="64" ht="12.75" hidden="1"/>
  </sheetData>
  <sheetProtection/>
  <mergeCells count="9">
    <mergeCell ref="A44:I45"/>
    <mergeCell ref="B54:B63"/>
    <mergeCell ref="C54:G63"/>
    <mergeCell ref="D2:E2"/>
    <mergeCell ref="A5:I5"/>
    <mergeCell ref="A8:A9"/>
    <mergeCell ref="B8:C9"/>
    <mergeCell ref="D8:I8"/>
    <mergeCell ref="A42:I4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Chobotnicka</dc:creator>
  <cp:keywords/>
  <dc:description/>
  <cp:lastModifiedBy>vasicek</cp:lastModifiedBy>
  <cp:lastPrinted>2013-07-29T09:30:13Z</cp:lastPrinted>
  <dcterms:created xsi:type="dcterms:W3CDTF">2013-07-21T06:20:49Z</dcterms:created>
  <dcterms:modified xsi:type="dcterms:W3CDTF">2013-07-29T09:38:13Z</dcterms:modified>
  <cp:category/>
  <cp:version/>
  <cp:contentType/>
  <cp:contentStatus/>
</cp:coreProperties>
</file>