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1"/>
  </bookViews>
  <sheets>
    <sheet name="Doplň. ukaz. 4_2013" sheetId="1" r:id="rId1"/>
    <sheet name="Město_příjmy" sheetId="2" r:id="rId2"/>
    <sheet name="Město_výdaje  " sheetId="3" r:id="rId3"/>
  </sheets>
  <definedNames/>
  <calcPr fullCalcOnLoad="1"/>
</workbook>
</file>

<file path=xl/sharedStrings.xml><?xml version="1.0" encoding="utf-8"?>
<sst xmlns="http://schemas.openxmlformats.org/spreadsheetml/2006/main" count="765" uniqueCount="467">
  <si>
    <t>Kraj: Jihomoravský</t>
  </si>
  <si>
    <t>Okres: Břeclav</t>
  </si>
  <si>
    <t>Město: Břeclav</t>
  </si>
  <si>
    <t xml:space="preserve">                    Tabulka doplňujících ukazatelů za období 4/2013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</si>
  <si>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</si>
  <si>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</si>
  <si>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</si>
  <si>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</si>
  <si>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</si>
  <si>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</si>
  <si>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</si>
  <si>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</si>
  <si>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</si>
  <si>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</si>
  <si>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</si>
  <si>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</si>
  <si>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</si>
  <si>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</si>
  <si>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</si>
  <si>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</si>
  <si>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</si>
  <si>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</si>
  <si>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</si>
  <si>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</si>
  <si>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</si>
  <si>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2013</t>
  </si>
  <si>
    <t>tis. Kč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</si>
  <si>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</si>
  <si>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</si>
  <si>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</si>
  <si>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</si>
  <si>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</si>
  <si>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</si>
  <si>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</si>
  <si>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</si>
  <si>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1-4/2013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</si>
  <si>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</si>
  <si>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</si>
  <si>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</si>
  <si>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</si>
  <si>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</si>
  <si>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</si>
  <si>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</si>
  <si>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na žáka </t>
  </si>
  <si>
    <t>Neinvestič. přij. transfery od krajů - Muzeum-Muzejmí noc v synagoze</t>
  </si>
  <si>
    <t>Neinvestič. přij. transfery od krajů - Zkvalitnění služeb TIC</t>
  </si>
  <si>
    <t>Neinvestič. přij. transfery od krajů - Svatováclavské slavnosti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</si>
  <si>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</si>
  <si>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</si>
  <si>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</si>
  <si>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</si>
  <si>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</si>
  <si>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</si>
  <si>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</si>
  <si>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</si>
  <si>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</si>
  <si>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>Odvody příspěvkových organizací - ZŠ Kupkova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</si>
  <si>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</si>
  <si>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</si>
  <si>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</si>
  <si>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</si>
  <si>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</si>
  <si>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</si>
  <si>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</si>
  <si>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</si>
  <si>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</si>
  <si>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</si>
  <si>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</si>
  <si>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</si>
  <si>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</si>
  <si>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</si>
  <si>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</si>
  <si>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</si>
  <si>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</si>
  <si>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</si>
  <si>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</si>
  <si>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ost. nemovit. a jejich částí-sport. zař. v maj. obce</t>
  </si>
  <si>
    <t>Příjmy z pronájmu movitých věcí-sport. zař. v maj. obce</t>
  </si>
  <si>
    <t>Ostatní přijaté vratky transferů - Tereza Břeclav</t>
  </si>
  <si>
    <t>Přijaté nekapitálové příspěvky a náhrady - sport.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</si>
  <si>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</si>
  <si>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</si>
  <si>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</si>
  <si>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</si>
  <si>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</si>
  <si>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</si>
  <si>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</si>
  <si>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</si>
  <si>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</si>
  <si>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</si>
  <si>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</si>
  <si>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Ostat. neinv. přij. transfery ze SR a ESF - aktiv. politika zaměst.</t>
  </si>
  <si>
    <t>Ost. neinv. přij. transfery ze SR - prevence kriminality</t>
  </si>
  <si>
    <t>Neinv. přij. transfery od krajů - prevence kriminality</t>
  </si>
  <si>
    <t>Ost. neinv. přij. transfery ze SR - Rozvoj e-governmentu v obcích</t>
  </si>
  <si>
    <t>Ost. neinv. přij. transfery ze SR - Na opravu památek místního významu</t>
  </si>
  <si>
    <t>Neinv. přij. transf. od krajů -Čistota cyklost.,Zelená dětem,Zdravé municip.</t>
  </si>
  <si>
    <t>Inv. přij. transfery ze stát. fondů - SF kinematogr. -Digitalizace kina-dopl.</t>
  </si>
  <si>
    <t>Inv. přij. transfery ze stát. fondů - OPŽP- MěÚ Břeclav-okna, zateplení</t>
  </si>
  <si>
    <t>Inv. přij. transfery ze stát. fondů - OPŽP - Domov seniorů-okna, zateplení</t>
  </si>
  <si>
    <t>Inv. přij. transfery ze stát. fondů - Zprac. digitál. protipovodňov. plánu</t>
  </si>
  <si>
    <t>Inv. přij. transfery ze stát. fondů - MŠ Kpt. nálepky - zateplení</t>
  </si>
  <si>
    <t>Inv. přij. transfery ze stát. fondů - MŠ Na Valtické - zateplení</t>
  </si>
  <si>
    <t>Inv. přij. transfery ze stát. fondů - ZŠ Kupkova - zateplení</t>
  </si>
  <si>
    <t>Ostat. investič. přij. transf. ze SR-MěÚ Břeclav</t>
  </si>
  <si>
    <t>Ostat. investič. přij. transf. ze SR-Domov seniorů Břeclav</t>
  </si>
  <si>
    <t>Ostat. investič. přij. transf. ze SR-Zprac. digitálního protipovodňov. plánu</t>
  </si>
  <si>
    <t>Ostat. investič. přij. transf. ze SR-IPRM Valtická - kamerový systém</t>
  </si>
  <si>
    <t>Ostat. investič. přij. transf. ze SR-MŠ Kpt. Nálepky - zateplení</t>
  </si>
  <si>
    <t>Ostat. investič. přij. transf. ze SR-MŠ Břeclav, Na Valtické - zateplení</t>
  </si>
  <si>
    <t>Ostat. investič. přij. transf. ze SR - ZŠ Kupkova - zateplení</t>
  </si>
  <si>
    <t>Ostat. investič. přij. transf. ze SR-</t>
  </si>
  <si>
    <t xml:space="preserve">Investič. přij. transf. od krajů - </t>
  </si>
  <si>
    <t>Investič. přij. transf. od regionál. rad - Přestupní terminál IDS</t>
  </si>
  <si>
    <t>Přijaté pojistné náhrady - silnice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</si>
  <si>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</si>
  <si>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</si>
  <si>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</si>
  <si>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</si>
  <si>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Přijaté nekapitál. přísp. a náhrady - veřejné osvětlení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</si>
  <si>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</si>
  <si>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</si>
  <si>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</si>
  <si>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</si>
  <si>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</si>
  <si>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</si>
  <si>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</si>
  <si>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pomocný analytický přehled (PAP)</t>
  </si>
  <si>
    <t>Neinvestič. přij. transf. ze SR - volby prezidenta ČR</t>
  </si>
  <si>
    <t>Neinvestič. přij. transf. ze SR - volby do senátu a zastupitelstev krajů</t>
  </si>
  <si>
    <t>Neinvestič. přij. transf. ze SR-výk. st. spr. -sociálně-práv. ochr. dětí</t>
  </si>
  <si>
    <t>Ostat. neinv. přij. transfery ze SR - centrál. registr vozidel - výpoč. tech.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</si>
  <si>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</si>
  <si>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</si>
  <si>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</si>
  <si>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</si>
  <si>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</si>
  <si>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Příjmy z poskyt. služeb - rozhlas a televize</t>
  </si>
  <si>
    <t>Příjmy z poskyt. služeb - ostat. zál. sdělovacích prostředků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</si>
  <si>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</si>
  <si>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</si>
  <si>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</si>
  <si>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</si>
  <si>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</si>
  <si>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</si>
  <si>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</si>
  <si>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</si>
  <si>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</si>
  <si>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</si>
  <si>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</si>
  <si>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</si>
  <si>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</si>
  <si>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</si>
  <si>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</si>
  <si>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Splátky půjčených prostředků od PO (DS Břeclav)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</si>
  <si>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</si>
  <si>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</si>
  <si>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</si>
  <si>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</si>
  <si>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</si>
  <si>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</si>
  <si>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</si>
  <si>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</si>
  <si>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</si>
  <si>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</si>
  <si>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</si>
  <si>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</si>
  <si>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</si>
  <si>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Přijaté nekapitálové příspěvky a náhrady - ostat. zál. soc. věcí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</si>
  <si>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</si>
  <si>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</si>
  <si>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</si>
  <si>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</si>
  <si>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</si>
  <si>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</si>
  <si>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</si>
  <si>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</si>
  <si>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</si>
  <si>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</si>
  <si>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</si>
  <si>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</si>
  <si>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</si>
  <si>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</si>
  <si>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</si>
  <si>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</si>
  <si>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</si>
  <si>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</si>
  <si>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</si>
  <si>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</si>
  <si>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Sankční platby přijaté od jiných subj. - ostat. správa v prům., obch., stav.</t>
  </si>
  <si>
    <t>Přijaté nekapitálové příspěvky jinde nezařaz.-ostat. zál. v pozem. kom.</t>
  </si>
  <si>
    <t>Ostatní nedaňové příjmy jinde nezařazené-ostat. zál. pozem. komunik.</t>
  </si>
  <si>
    <t>Sankční poplatky-ostat. zál. v dopravě</t>
  </si>
  <si>
    <t>Přijaté nekapitálové příspěvky jinde nezařaz.-vnitřní správa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</si>
  <si>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</si>
  <si>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</si>
  <si>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</si>
  <si>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</si>
  <si>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</si>
  <si>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</si>
  <si>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</si>
  <si>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</si>
  <si>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</si>
  <si>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</si>
  <si>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</si>
  <si>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</si>
  <si>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</si>
  <si>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</si>
  <si>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</si>
  <si>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</si>
  <si>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</si>
  <si>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</si>
  <si>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</si>
  <si>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</si>
  <si>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</si>
  <si>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</si>
  <si>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</si>
  <si>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</si>
  <si>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</si>
  <si>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</si>
  <si>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</si>
  <si>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Místní poplatek za provoz výher. hracích přístrojů</t>
  </si>
  <si>
    <t>Zrušené místní poplatky-dopl.min.let-komunální odpad</t>
  </si>
  <si>
    <t>Odvod výtěžku z provozování loterií  aj. podob. her (pol. 1351+1355)</t>
  </si>
  <si>
    <t>Správní poplatky z VHP</t>
  </si>
  <si>
    <t>Daň z nemovitostí</t>
  </si>
  <si>
    <t>Splátky půjček od obyvatelstva</t>
  </si>
  <si>
    <t>Přijaté sankč. platby -  výher. hrací přístroje</t>
  </si>
  <si>
    <t>Převody z ostatních vlastních fondů</t>
  </si>
  <si>
    <t>Neidentifikované příjmy - činnost míst. správy</t>
  </si>
  <si>
    <t>Příjmy z úroků</t>
  </si>
  <si>
    <t>Příjmy z podílu na zisku a dividend - Tempos, a. s.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</si>
  <si>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</si>
  <si>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</si>
  <si>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</si>
  <si>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</si>
  <si>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pronájmu movitých věcí-ost. zál. pozem. komunik.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</si>
  <si>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</si>
  <si>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</si>
  <si>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</si>
  <si>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</si>
  <si>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</si>
  <si>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</si>
  <si>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</si>
  <si>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</si>
  <si>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</si>
  <si>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</si>
  <si>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</si>
  <si>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</si>
  <si>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</si>
  <si>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</si>
  <si>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</si>
  <si>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</si>
  <si>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</si>
  <si>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</si>
  <si>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</si>
  <si>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</si>
  <si>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</si>
  <si>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</si>
  <si>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</si>
  <si>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Sankční platby přijaté od jiných subjektů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</si>
  <si>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</si>
  <si>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</si>
  <si>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</si>
  <si>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</si>
  <si>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</si>
  <si>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</si>
  <si>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</si>
  <si>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</si>
  <si>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</si>
  <si>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</si>
  <si>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</si>
  <si>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</si>
  <si>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</si>
  <si>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</si>
  <si>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</si>
  <si>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</si>
  <si>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</si>
  <si>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</si>
  <si>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</si>
  <si>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</si>
  <si>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</si>
  <si>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</si>
  <si>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</si>
  <si>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</si>
  <si>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</si>
  <si>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</si>
  <si>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</si>
  <si>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</si>
  <si>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</si>
  <si>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</si>
  <si>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</si>
  <si>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</si>
  <si>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</si>
  <si>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</si>
  <si>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</si>
  <si>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</si>
  <si>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</si>
  <si>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</si>
  <si>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</si>
  <si>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</si>
  <si>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</si>
  <si>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</si>
  <si>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2013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</si>
  <si>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</si>
  <si>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</si>
  <si>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</si>
  <si>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</si>
  <si>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</si>
  <si>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</si>
  <si>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</si>
  <si>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</si>
  <si>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</si>
  <si>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</si>
  <si>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</si>
  <si>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</si>
  <si>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</si>
  <si>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muzeum) -běžný provoz +projekty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</si>
  <si>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</si>
  <si>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</si>
  <si>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</si>
  <si>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</si>
  <si>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</si>
  <si>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</si>
  <si>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</si>
  <si>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</si>
  <si>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</si>
  <si>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</si>
  <si>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</si>
  <si>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</si>
  <si>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Rezerva ORJ 10</t>
  </si>
  <si>
    <t>VÝDAJE ORJ 10  CELKEM</t>
  </si>
  <si>
    <t xml:space="preserve">ODBOR ROZVOJE A SPRÁVY             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</si>
  <si>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</si>
  <si>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</si>
  <si>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</si>
  <si>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</si>
  <si>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</si>
  <si>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Pitná voda</t>
  </si>
  <si>
    <t>Odvádění a čištění odpadních vod   (havárie)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</si>
  <si>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</si>
  <si>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</si>
  <si>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</si>
  <si>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</si>
  <si>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</si>
  <si>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</si>
  <si>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</si>
  <si>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</si>
  <si>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</si>
  <si>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</si>
  <si>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</si>
  <si>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</si>
  <si>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</si>
  <si>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</si>
  <si>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</si>
  <si>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</si>
  <si>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</si>
  <si>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</si>
  <si>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</si>
  <si>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Péče o vzhled obcí a veřejnou zeleň</t>
  </si>
  <si>
    <t xml:space="preserve">Prevence kriminality </t>
  </si>
  <si>
    <t>Domovy seniorů</t>
  </si>
  <si>
    <t>Ochrana obyvatelstva</t>
  </si>
  <si>
    <t xml:space="preserve">Mezinárodní spolupráce </t>
  </si>
  <si>
    <t>Vnitřní správa</t>
  </si>
  <si>
    <t>Projektová a manažerská příprava na vybrané investiční akce</t>
  </si>
  <si>
    <t>Mezisoučet</t>
  </si>
  <si>
    <t>Kupkova-komunikace a chod. s odvodněním</t>
  </si>
  <si>
    <t>Pisníky-vozovka a chodníky</t>
  </si>
  <si>
    <t>Parkoviště Budovatelská</t>
  </si>
  <si>
    <t>Slovácká-regenerace veřejných prostranství</t>
  </si>
  <si>
    <t xml:space="preserve">Břeclav bez bariér </t>
  </si>
  <si>
    <t>Mánesova - chodník levá strana</t>
  </si>
  <si>
    <t>Cyklostezka Na Zahradách-Bratislavská</t>
  </si>
  <si>
    <t>Úpr. předprostor Kina Koruna</t>
  </si>
  <si>
    <t>Mánesova - chodník pravá strana</t>
  </si>
  <si>
    <t>IPRM Valtická-kamerový systém</t>
  </si>
  <si>
    <t>Integr. přestupní terminál IDS JMK-studie</t>
  </si>
  <si>
    <t>IDS-okružní křižovatka + roč. nájem za pozemky ČD</t>
  </si>
  <si>
    <t>Zpracování digitálního protipovodňového plánu-program. vybavení</t>
  </si>
  <si>
    <t>MŠ Kpt. Nálepky - zateplení</t>
  </si>
  <si>
    <t>MŠ Na Valtické - zateplení</t>
  </si>
  <si>
    <t>ZŠ Kupkova - zateplení</t>
  </si>
  <si>
    <t xml:space="preserve">Kino Koruna - vzduchotechnika </t>
  </si>
  <si>
    <t>Smuteční obřadní síně-projektová dokumentace</t>
  </si>
  <si>
    <t>IOP-územní plán</t>
  </si>
  <si>
    <t>Prevence kriminality - Zabezpečení sociál. vyloučené lokality</t>
  </si>
  <si>
    <t>Prevence kriminality - Bezpeč.Břeclav-Měst. dohlížecí kamer. systém</t>
  </si>
  <si>
    <t>Domov seniorů  Břeclav - osazení termostatických ventilů</t>
  </si>
  <si>
    <t>Azylový dům</t>
  </si>
  <si>
    <t>Vnitřní správa - MěÚ rek. sociálního zařízení</t>
  </si>
  <si>
    <t>Investice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</si>
  <si>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</si>
  <si>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</si>
  <si>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</si>
  <si>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</si>
  <si>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</si>
  <si>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</si>
  <si>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</si>
  <si>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</si>
  <si>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</si>
  <si>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</si>
  <si>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</si>
  <si>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</si>
  <si>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</si>
  <si>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</si>
  <si>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</si>
  <si>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</si>
  <si>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</si>
  <si>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</si>
  <si>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</si>
  <si>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</si>
  <si>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</si>
  <si>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</si>
  <si>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</si>
  <si>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</si>
  <si>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</si>
  <si>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</si>
  <si>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 (příspěvek 8 200 + 4 000 přech. výpomoc)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</si>
  <si>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</si>
  <si>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</si>
  <si>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</si>
  <si>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</si>
  <si>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</si>
  <si>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</si>
  <si>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</si>
  <si>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</si>
  <si>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</si>
  <si>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</si>
  <si>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</si>
  <si>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</si>
  <si>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</si>
  <si>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</si>
  <si>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</si>
  <si>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</si>
  <si>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Ochrana druhů a stanovišť</t>
  </si>
  <si>
    <t>Ostatní činnosti k ochraně přírody a krajiny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</si>
  <si>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</si>
  <si>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</si>
  <si>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</si>
  <si>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</si>
  <si>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Provoz vnitrozemské plavby (Břeclav-Pohansko-Janohrad)</t>
  </si>
  <si>
    <t xml:space="preserve">Činnost místní správy - zálohy </t>
  </si>
  <si>
    <t>VÝDAJE ORJ 80 CELKEM</t>
  </si>
  <si>
    <t xml:space="preserve">Bezpečnost a veřejný pořádek </t>
  </si>
  <si>
    <t>VÝDAJE ORJ  90 CELKEM</t>
  </si>
  <si>
    <t>Stavební úřad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</si>
  <si>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</si>
  <si>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</si>
  <si>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</si>
  <si>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</si>
  <si>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</si>
  <si>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</si>
  <si>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</si>
  <si>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</si>
  <si>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</si>
  <si>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</si>
  <si>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</si>
  <si>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</si>
  <si>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</si>
  <si>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</si>
  <si>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</si>
  <si>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</si>
  <si>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</si>
  <si>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</si>
  <si>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</si>
  <si>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 xml:space="preserve">Neinv. přijaté dotace ze SR - přísp. na výkon stát. správy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</si>
</sst>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4" fontId="6" fillId="34" borderId="33" xfId="46" applyNumberFormat="1" applyFont="1" applyFill="1" applyBorder="1" applyAlignment="1">
      <alignment horizontal="center"/>
      <protection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/>
    </xf>
    <xf numFmtId="4" fontId="6" fillId="34" borderId="35" xfId="46" applyNumberFormat="1" applyFont="1" applyFill="1" applyBorder="1" applyAlignment="1">
      <alignment horizontal="center"/>
      <protection/>
    </xf>
    <xf numFmtId="49" fontId="6" fillId="34" borderId="35" xfId="46" applyNumberFormat="1" applyFont="1" applyFill="1" applyBorder="1" applyAlignment="1">
      <alignment horizontal="center"/>
      <protection/>
    </xf>
    <xf numFmtId="0" fontId="6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9" fillId="35" borderId="37" xfId="0" applyNumberFormat="1" applyFont="1" applyFill="1" applyBorder="1" applyAlignment="1">
      <alignment/>
    </xf>
    <xf numFmtId="4" fontId="9" fillId="36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39" xfId="0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9" fillId="35" borderId="40" xfId="0" applyNumberFormat="1" applyFont="1" applyFill="1" applyBorder="1" applyAlignment="1">
      <alignment/>
    </xf>
    <xf numFmtId="0" fontId="9" fillId="0" borderId="41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9" fillId="35" borderId="41" xfId="0" applyNumberFormat="1" applyFont="1" applyFill="1" applyBorder="1" applyAlignment="1">
      <alignment/>
    </xf>
    <xf numFmtId="4" fontId="9" fillId="36" borderId="41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6" fillId="35" borderId="42" xfId="0" applyNumberFormat="1" applyFont="1" applyFill="1" applyBorder="1" applyAlignment="1">
      <alignment/>
    </xf>
    <xf numFmtId="4" fontId="6" fillId="36" borderId="4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right"/>
    </xf>
    <xf numFmtId="0" fontId="9" fillId="0" borderId="37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right"/>
    </xf>
    <xf numFmtId="0" fontId="9" fillId="0" borderId="37" xfId="0" applyFont="1" applyFill="1" applyBorder="1" applyAlignment="1">
      <alignment/>
    </xf>
    <xf numFmtId="0" fontId="9" fillId="0" borderId="38" xfId="46" applyFont="1" applyFill="1" applyBorder="1">
      <alignment/>
      <protection/>
    </xf>
    <xf numFmtId="0" fontId="9" fillId="0" borderId="38" xfId="46" applyFont="1" applyFill="1" applyBorder="1" applyAlignment="1">
      <alignment horizontal="right"/>
      <protection/>
    </xf>
    <xf numFmtId="0" fontId="9" fillId="0" borderId="38" xfId="46" applyFont="1" applyFill="1" applyBorder="1" applyAlignment="1">
      <alignment horizontal="left"/>
      <protection/>
    </xf>
    <xf numFmtId="0" fontId="9" fillId="0" borderId="40" xfId="46" applyFont="1" applyFill="1" applyBorder="1">
      <alignment/>
      <protection/>
    </xf>
    <xf numFmtId="0" fontId="9" fillId="0" borderId="39" xfId="46" applyFont="1" applyFill="1" applyBorder="1" applyAlignment="1">
      <alignment horizontal="right"/>
      <protection/>
    </xf>
    <xf numFmtId="0" fontId="9" fillId="0" borderId="38" xfId="0" applyFont="1" applyFill="1" applyBorder="1" applyAlignment="1">
      <alignment horizontal="right"/>
    </xf>
    <xf numFmtId="0" fontId="9" fillId="0" borderId="41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4" fontId="9" fillId="37" borderId="38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9" fillId="35" borderId="44" xfId="0" applyNumberFormat="1" applyFont="1" applyFill="1" applyBorder="1" applyAlignment="1">
      <alignment/>
    </xf>
    <xf numFmtId="4" fontId="9" fillId="36" borderId="44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4" fontId="14" fillId="0" borderId="37" xfId="0" applyNumberFormat="1" applyFont="1" applyFill="1" applyBorder="1" applyAlignment="1">
      <alignment/>
    </xf>
    <xf numFmtId="4" fontId="14" fillId="35" borderId="37" xfId="0" applyNumberFormat="1" applyFont="1" applyFill="1" applyBorder="1" applyAlignment="1">
      <alignment/>
    </xf>
    <xf numFmtId="4" fontId="14" fillId="36" borderId="37" xfId="0" applyNumberFormat="1" applyFont="1" applyFill="1" applyBorder="1" applyAlignment="1">
      <alignment/>
    </xf>
    <xf numFmtId="4" fontId="9" fillId="37" borderId="37" xfId="0" applyNumberFormat="1" applyFont="1" applyFill="1" applyBorder="1" applyAlignment="1">
      <alignment/>
    </xf>
    <xf numFmtId="4" fontId="9" fillId="37" borderId="37" xfId="0" applyNumberFormat="1" applyFont="1" applyFill="1" applyBorder="1" applyAlignment="1">
      <alignment/>
    </xf>
    <xf numFmtId="4" fontId="9" fillId="35" borderId="37" xfId="0" applyNumberFormat="1" applyFont="1" applyFill="1" applyBorder="1" applyAlignment="1">
      <alignment/>
    </xf>
    <xf numFmtId="4" fontId="9" fillId="36" borderId="37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40" xfId="0" applyFont="1" applyFill="1" applyBorder="1" applyAlignment="1">
      <alignment/>
    </xf>
    <xf numFmtId="4" fontId="9" fillId="37" borderId="39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9" fillId="35" borderId="45" xfId="0" applyNumberFormat="1" applyFont="1" applyFill="1" applyBorder="1" applyAlignment="1">
      <alignment/>
    </xf>
    <xf numFmtId="4" fontId="9" fillId="36" borderId="45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35" borderId="46" xfId="0" applyNumberFormat="1" applyFont="1" applyFill="1" applyBorder="1" applyAlignment="1">
      <alignment/>
    </xf>
    <xf numFmtId="4" fontId="6" fillId="36" borderId="46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 applyProtection="1">
      <alignment horizontal="right"/>
      <protection locked="0"/>
    </xf>
    <xf numFmtId="4" fontId="9" fillId="35" borderId="38" xfId="0" applyNumberFormat="1" applyFont="1" applyFill="1" applyBorder="1" applyAlignment="1" applyProtection="1">
      <alignment horizontal="right"/>
      <protection locked="0"/>
    </xf>
    <xf numFmtId="4" fontId="9" fillId="36" borderId="38" xfId="0" applyNumberFormat="1" applyFont="1" applyFill="1" applyBorder="1" applyAlignment="1" applyProtection="1">
      <alignment horizontal="right"/>
      <protection locked="0"/>
    </xf>
    <xf numFmtId="4" fontId="9" fillId="0" borderId="38" xfId="0" applyNumberFormat="1" applyFont="1" applyFill="1" applyBorder="1" applyAlignment="1" applyProtection="1">
      <alignment/>
      <protection locked="0"/>
    </xf>
    <xf numFmtId="4" fontId="9" fillId="35" borderId="38" xfId="0" applyNumberFormat="1" applyFont="1" applyFill="1" applyBorder="1" applyAlignment="1" applyProtection="1">
      <alignment/>
      <protection locked="0"/>
    </xf>
    <xf numFmtId="4" fontId="9" fillId="36" borderId="38" xfId="0" applyNumberFormat="1" applyFont="1" applyFill="1" applyBorder="1" applyAlignment="1" applyProtection="1">
      <alignment/>
      <protection locked="0"/>
    </xf>
    <xf numFmtId="0" fontId="6" fillId="0" borderId="38" xfId="0" applyFont="1" applyFill="1" applyBorder="1" applyAlignment="1">
      <alignment/>
    </xf>
    <xf numFmtId="4" fontId="9" fillId="37" borderId="41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4" fontId="9" fillId="36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14" fillId="37" borderId="37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9" fillId="35" borderId="18" xfId="0" applyNumberFormat="1" applyFont="1" applyFill="1" applyBorder="1" applyAlignment="1">
      <alignment/>
    </xf>
    <xf numFmtId="4" fontId="6" fillId="0" borderId="45" xfId="0" applyNumberFormat="1" applyFont="1" applyFill="1" applyBorder="1" applyAlignment="1">
      <alignment/>
    </xf>
    <xf numFmtId="4" fontId="6" fillId="35" borderId="45" xfId="0" applyNumberFormat="1" applyFont="1" applyFill="1" applyBorder="1" applyAlignment="1">
      <alignment/>
    </xf>
    <xf numFmtId="4" fontId="6" fillId="36" borderId="45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 horizontal="right"/>
    </xf>
    <xf numFmtId="4" fontId="9" fillId="35" borderId="38" xfId="0" applyNumberFormat="1" applyFont="1" applyFill="1" applyBorder="1" applyAlignment="1">
      <alignment horizontal="right"/>
    </xf>
    <xf numFmtId="4" fontId="9" fillId="36" borderId="38" xfId="0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35" borderId="35" xfId="0" applyNumberFormat="1" applyFont="1" applyFill="1" applyBorder="1" applyAlignment="1">
      <alignment/>
    </xf>
    <xf numFmtId="4" fontId="9" fillId="36" borderId="35" xfId="0" applyNumberFormat="1" applyFont="1" applyFill="1" applyBorder="1" applyAlignment="1">
      <alignment/>
    </xf>
    <xf numFmtId="0" fontId="6" fillId="0" borderId="42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left" vertical="center"/>
    </xf>
    <xf numFmtId="4" fontId="6" fillId="0" borderId="46" xfId="0" applyNumberFormat="1" applyFont="1" applyFill="1" applyBorder="1" applyAlignment="1">
      <alignment vertical="center"/>
    </xf>
    <xf numFmtId="4" fontId="6" fillId="35" borderId="46" xfId="0" applyNumberFormat="1" applyFont="1" applyFill="1" applyBorder="1" applyAlignment="1">
      <alignment vertical="center"/>
    </xf>
    <xf numFmtId="4" fontId="6" fillId="36" borderId="4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/>
    </xf>
    <xf numFmtId="4" fontId="6" fillId="0" borderId="38" xfId="0" applyNumberFormat="1" applyFont="1" applyFill="1" applyBorder="1" applyAlignment="1">
      <alignment horizontal="center"/>
    </xf>
    <xf numFmtId="4" fontId="6" fillId="35" borderId="38" xfId="0" applyNumberFormat="1" applyFont="1" applyFill="1" applyBorder="1" applyAlignment="1">
      <alignment horizontal="center"/>
    </xf>
    <xf numFmtId="4" fontId="6" fillId="36" borderId="38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 horizontal="right"/>
    </xf>
    <xf numFmtId="4" fontId="9" fillId="35" borderId="37" xfId="0" applyNumberFormat="1" applyFont="1" applyFill="1" applyBorder="1" applyAlignment="1">
      <alignment horizontal="right"/>
    </xf>
    <xf numFmtId="4" fontId="9" fillId="36" borderId="37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4" fontId="5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34" borderId="3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35" xfId="0" applyFont="1" applyFill="1" applyBorder="1" applyAlignment="1">
      <alignment/>
    </xf>
    <xf numFmtId="49" fontId="6" fillId="34" borderId="35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9" fillId="35" borderId="44" xfId="0" applyNumberFormat="1" applyFont="1" applyFill="1" applyBorder="1" applyAlignment="1">
      <alignment/>
    </xf>
    <xf numFmtId="4" fontId="9" fillId="36" borderId="44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6" fillId="0" borderId="38" xfId="0" applyNumberFormat="1" applyFont="1" applyFill="1" applyBorder="1" applyAlignment="1">
      <alignment/>
    </xf>
    <xf numFmtId="4" fontId="16" fillId="35" borderId="38" xfId="0" applyNumberFormat="1" applyFont="1" applyFill="1" applyBorder="1" applyAlignment="1">
      <alignment/>
    </xf>
    <xf numFmtId="4" fontId="16" fillId="36" borderId="38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9" fillId="35" borderId="41" xfId="0" applyNumberFormat="1" applyFont="1" applyFill="1" applyBorder="1" applyAlignment="1">
      <alignment/>
    </xf>
    <xf numFmtId="4" fontId="9" fillId="36" borderId="41" xfId="0" applyNumberFormat="1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6" fillId="35" borderId="42" xfId="0" applyNumberFormat="1" applyFont="1" applyFill="1" applyBorder="1" applyAlignment="1">
      <alignment/>
    </xf>
    <xf numFmtId="4" fontId="6" fillId="36" borderId="4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4" fontId="9" fillId="37" borderId="38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4" fontId="6" fillId="35" borderId="37" xfId="0" applyNumberFormat="1" applyFont="1" applyFill="1" applyBorder="1" applyAlignment="1">
      <alignment/>
    </xf>
    <xf numFmtId="4" fontId="6" fillId="36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35" borderId="38" xfId="0" applyNumberFormat="1" applyFont="1" applyFill="1" applyBorder="1" applyAlignment="1">
      <alignment/>
    </xf>
    <xf numFmtId="3" fontId="9" fillId="36" borderId="3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8" xfId="46" applyFont="1" applyFill="1" applyBorder="1" applyAlignment="1">
      <alignment horizontal="left"/>
      <protection/>
    </xf>
    <xf numFmtId="0" fontId="9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/>
    </xf>
    <xf numFmtId="4" fontId="6" fillId="35" borderId="38" xfId="0" applyNumberFormat="1" applyFont="1" applyFill="1" applyBorder="1" applyAlignment="1">
      <alignment/>
    </xf>
    <xf numFmtId="4" fontId="6" fillId="36" borderId="38" xfId="0" applyNumberFormat="1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35" borderId="41" xfId="0" applyNumberFormat="1" applyFont="1" applyFill="1" applyBorder="1" applyAlignment="1">
      <alignment/>
    </xf>
    <xf numFmtId="4" fontId="6" fillId="36" borderId="41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0" fontId="9" fillId="0" borderId="42" xfId="0" applyFont="1" applyFill="1" applyBorder="1" applyAlignment="1">
      <alignment horizontal="center"/>
    </xf>
    <xf numFmtId="0" fontId="6" fillId="0" borderId="47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35" borderId="35" xfId="0" applyNumberFormat="1" applyFont="1" applyFill="1" applyBorder="1" applyAlignment="1">
      <alignment/>
    </xf>
    <xf numFmtId="4" fontId="9" fillId="36" borderId="35" xfId="0" applyNumberFormat="1" applyFont="1" applyFill="1" applyBorder="1" applyAlignment="1">
      <alignment/>
    </xf>
    <xf numFmtId="0" fontId="16" fillId="37" borderId="38" xfId="0" applyFont="1" applyFill="1" applyBorder="1" applyAlignment="1">
      <alignment horizontal="center"/>
    </xf>
    <xf numFmtId="0" fontId="9" fillId="0" borderId="38" xfId="0" applyFont="1" applyBorder="1" applyAlignment="1">
      <alignment/>
    </xf>
    <xf numFmtId="0" fontId="16" fillId="37" borderId="45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4" fontId="9" fillId="37" borderId="35" xfId="0" applyNumberFormat="1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4" fontId="6" fillId="35" borderId="38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9" fillId="35" borderId="45" xfId="0" applyNumberFormat="1" applyFont="1" applyFill="1" applyBorder="1" applyAlignment="1">
      <alignment/>
    </xf>
    <xf numFmtId="4" fontId="9" fillId="36" borderId="45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35" borderId="46" xfId="0" applyNumberFormat="1" applyFont="1" applyFill="1" applyBorder="1" applyAlignment="1">
      <alignment/>
    </xf>
    <xf numFmtId="4" fontId="6" fillId="36" borderId="46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8" xfId="0" applyFont="1" applyFill="1" applyBorder="1" applyAlignment="1">
      <alignment vertical="center"/>
    </xf>
    <xf numFmtId="4" fontId="6" fillId="0" borderId="46" xfId="0" applyNumberFormat="1" applyFont="1" applyFill="1" applyBorder="1" applyAlignment="1">
      <alignment vertical="center"/>
    </xf>
    <xf numFmtId="4" fontId="6" fillId="35" borderId="46" xfId="0" applyNumberFormat="1" applyFont="1" applyFill="1" applyBorder="1" applyAlignment="1">
      <alignment vertical="center"/>
    </xf>
    <xf numFmtId="4" fontId="6" fillId="36" borderId="46" xfId="0" applyNumberFormat="1" applyFont="1" applyFill="1" applyBorder="1" applyAlignment="1">
      <alignment vertical="center"/>
    </xf>
    <xf numFmtId="4" fontId="6" fillId="0" borderId="4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46" applyFont="1" applyFill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1"/>
  <sheetViews>
    <sheetView zoomScalePageLayoutView="0" workbookViewId="0" topLeftCell="A2">
      <selection activeCell="D33" sqref="D33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 t="s">
        <v>2</v>
      </c>
      <c r="B4" s="3"/>
    </row>
    <row r="5" s="2" customFormat="1" ht="15.75">
      <c r="A5" s="1"/>
    </row>
    <row r="6" spans="1:5" s="2" customFormat="1" ht="20.25">
      <c r="A6" s="308" t="s">
        <v>3</v>
      </c>
      <c r="B6" s="309"/>
      <c r="C6" s="310"/>
      <c r="D6" s="310"/>
      <c r="E6" s="310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229" ht="18.75" customHeight="1">
      <c r="B9" s="311" t="s">
        <v>5</v>
      </c>
      <c r="C9" s="8" t="s">
        <v>6</v>
      </c>
      <c r="D9" s="8" t="s">
        <v>7</v>
      </c>
      <c r="E9" s="9" t="s">
        <v>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</row>
    <row r="10" spans="2:229" ht="13.5" customHeight="1" thickBot="1">
      <c r="B10" s="312"/>
      <c r="C10" s="11" t="s">
        <v>9</v>
      </c>
      <c r="D10" s="11" t="s">
        <v>9</v>
      </c>
      <c r="E10" s="12" t="s"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</row>
    <row r="11" spans="2:229" ht="13.5" thickTop="1">
      <c r="B11" s="13" t="s">
        <v>10</v>
      </c>
      <c r="C11" s="14">
        <v>278551</v>
      </c>
      <c r="D11" s="14">
        <v>277976.2</v>
      </c>
      <c r="E11" s="15">
        <v>102767.6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</row>
    <row r="12" spans="2:229" ht="12.75">
      <c r="B12" s="16" t="s">
        <v>11</v>
      </c>
      <c r="C12" s="17">
        <v>59076.1</v>
      </c>
      <c r="D12" s="17">
        <v>59076.1</v>
      </c>
      <c r="E12" s="18">
        <v>29708.4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</row>
    <row r="13" spans="2:229" ht="12.75">
      <c r="B13" s="16" t="s">
        <v>12</v>
      </c>
      <c r="C13" s="17">
        <v>12871</v>
      </c>
      <c r="D13" s="17">
        <v>12871</v>
      </c>
      <c r="E13" s="18">
        <v>463.4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</row>
    <row r="14" spans="2:229" ht="12.75">
      <c r="B14" s="19" t="s">
        <v>13</v>
      </c>
      <c r="C14" s="17">
        <v>84439</v>
      </c>
      <c r="D14" s="17">
        <v>85415.7</v>
      </c>
      <c r="E14" s="18">
        <f>304128.5-286980.7</f>
        <v>17147.79999999999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</row>
    <row r="15" spans="2:229" ht="19.5" customHeight="1" thickBot="1">
      <c r="B15" s="20" t="s">
        <v>14</v>
      </c>
      <c r="C15" s="21">
        <f>SUM(C11:C14)</f>
        <v>434937.1</v>
      </c>
      <c r="D15" s="21">
        <f>SUM(D11:D14)</f>
        <v>435339</v>
      </c>
      <c r="E15" s="22">
        <f>SUM(E11:E14)</f>
        <v>150087.19999999998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</row>
    <row r="16" spans="2:229" ht="13.5" thickTop="1">
      <c r="B16" s="23"/>
      <c r="C16" s="24"/>
      <c r="D16" s="24"/>
      <c r="E16" s="2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</row>
    <row r="17" spans="1:229" ht="12.75">
      <c r="A17" s="10"/>
      <c r="B17" s="16" t="s">
        <v>15</v>
      </c>
      <c r="C17" s="17">
        <v>355833.5</v>
      </c>
      <c r="D17" s="17">
        <v>368228.3</v>
      </c>
      <c r="E17" s="18">
        <f>408609-286980.7</f>
        <v>121628.29999999999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</row>
    <row r="18" spans="1:251" s="26" customFormat="1" ht="12.75">
      <c r="A18" s="10"/>
      <c r="B18" s="19" t="s">
        <v>16</v>
      </c>
      <c r="C18" s="17">
        <v>136705</v>
      </c>
      <c r="D18" s="17">
        <v>138872.2</v>
      </c>
      <c r="E18" s="18">
        <v>3268.8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</row>
    <row r="19" spans="1:229" ht="19.5" customHeight="1" thickBot="1">
      <c r="A19" s="10"/>
      <c r="B19" s="20" t="s">
        <v>17</v>
      </c>
      <c r="C19" s="21">
        <f>SUM(C17:C18)</f>
        <v>492538.5</v>
      </c>
      <c r="D19" s="21">
        <f>SUM(D17:D18)</f>
        <v>507100.5</v>
      </c>
      <c r="E19" s="22">
        <f>SUM(E17:E18)</f>
        <v>124897.09999999999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</row>
    <row r="20" spans="2:229" ht="13.5" thickTop="1">
      <c r="B20" s="27"/>
      <c r="C20" s="28"/>
      <c r="D20" s="28"/>
      <c r="E20" s="2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</row>
    <row r="21" spans="2:229" ht="12.75">
      <c r="B21" s="30" t="s">
        <v>18</v>
      </c>
      <c r="C21" s="31"/>
      <c r="D21" s="31"/>
      <c r="E21" s="3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</row>
    <row r="22" spans="2:9" ht="12.75">
      <c r="B22" s="30" t="s">
        <v>19</v>
      </c>
      <c r="C22" s="33"/>
      <c r="D22" s="33"/>
      <c r="E22" s="34">
        <v>25190.1</v>
      </c>
      <c r="I22" t="s">
        <v>20</v>
      </c>
    </row>
    <row r="23" spans="2:5" ht="15" customHeight="1" thickBot="1">
      <c r="B23" s="35" t="s">
        <v>21</v>
      </c>
      <c r="C23" s="36">
        <v>57601.4</v>
      </c>
      <c r="D23" s="36">
        <v>71761.5</v>
      </c>
      <c r="E23" s="37"/>
    </row>
    <row r="26" ht="12.75">
      <c r="B26" s="38" t="s">
        <v>22</v>
      </c>
    </row>
    <row r="27" spans="2:5" ht="12.75">
      <c r="B27" s="38" t="s">
        <v>23</v>
      </c>
      <c r="C27" s="38"/>
      <c r="D27" s="38"/>
      <c r="E27" s="38"/>
    </row>
    <row r="28" spans="2:5" ht="15">
      <c r="B28" s="38"/>
      <c r="C28" s="39"/>
      <c r="D28" s="39"/>
      <c r="E28" s="39"/>
    </row>
    <row r="29" spans="2:5" ht="15">
      <c r="B29" s="38"/>
      <c r="C29" s="40"/>
      <c r="D29" s="40"/>
      <c r="E29" s="40"/>
    </row>
    <row r="30" ht="12.75">
      <c r="B30" s="38"/>
    </row>
    <row r="31" spans="2:5" ht="12.75">
      <c r="B31" s="38"/>
      <c r="C31" s="38"/>
      <c r="D31" s="38"/>
      <c r="E31" s="38"/>
    </row>
    <row r="32" spans="2:5" ht="15">
      <c r="B32" s="38"/>
      <c r="C32" s="39"/>
      <c r="D32" s="39"/>
      <c r="E32" s="39"/>
    </row>
    <row r="33" spans="2:5" ht="15">
      <c r="B33" s="38"/>
      <c r="C33" s="40"/>
      <c r="D33" s="40"/>
      <c r="E33" s="40"/>
    </row>
    <row r="34" spans="2:5" ht="15">
      <c r="B34" s="38"/>
      <c r="C34" s="40"/>
      <c r="D34" s="40"/>
      <c r="E34" s="40"/>
    </row>
    <row r="35" spans="2:5" ht="15">
      <c r="B35" s="38"/>
      <c r="C35" s="40"/>
      <c r="D35" s="40"/>
      <c r="E35" s="40"/>
    </row>
    <row r="36" spans="2:5" ht="15">
      <c r="B36" s="38"/>
      <c r="C36" s="40"/>
      <c r="D36" s="40"/>
      <c r="E36" s="40"/>
    </row>
    <row r="47" ht="12.75">
      <c r="B47" s="38"/>
    </row>
    <row r="48" spans="2:5" ht="12.75">
      <c r="B48" s="38"/>
      <c r="C48" s="38"/>
      <c r="D48" s="38"/>
      <c r="E48" s="38"/>
    </row>
    <row r="49" spans="2:5" ht="15">
      <c r="B49" s="38"/>
      <c r="C49" s="39"/>
      <c r="D49" s="39"/>
      <c r="E49" s="39"/>
    </row>
    <row r="50" spans="2:5" ht="15">
      <c r="B50" s="38"/>
      <c r="C50" s="40"/>
      <c r="D50" s="40"/>
      <c r="E50" s="40"/>
    </row>
    <row r="51" spans="2:5" ht="15">
      <c r="B51" s="38"/>
      <c r="C51" s="40"/>
      <c r="D51" s="40"/>
      <c r="E51" s="40"/>
    </row>
  </sheetData>
  <sheetProtection/>
  <mergeCells count="2">
    <mergeCell ref="A6:E6"/>
    <mergeCell ref="B9:B10"/>
  </mergeCells>
  <printOptions/>
  <pageMargins left="0.67" right="0.36" top="0.984251969" bottom="0.72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2"/>
  <sheetViews>
    <sheetView tabSelected="1" zoomScale="80" zoomScaleNormal="80" zoomScalePageLayoutView="0" workbookViewId="0" topLeftCell="A249">
      <selection activeCell="J266" sqref="J266"/>
    </sheetView>
  </sheetViews>
  <sheetFormatPr defaultColWidth="9.140625" defaultRowHeight="12.75"/>
  <cols>
    <col min="1" max="1" width="7.57421875" style="44" customWidth="1"/>
    <col min="2" max="3" width="10.28125" style="44" customWidth="1"/>
    <col min="4" max="4" width="76.8515625" style="44" customWidth="1"/>
    <col min="5" max="7" width="16.7109375" style="68" customWidth="1"/>
    <col min="8" max="8" width="11.421875" style="68" customWidth="1"/>
    <col min="9" max="9" width="9.140625" style="44" customWidth="1"/>
    <col min="10" max="10" width="24.8515625" style="44" customWidth="1"/>
    <col min="11" max="16384" width="9.140625" style="44" customWidth="1"/>
  </cols>
  <sheetData>
    <row r="1" spans="1:8" ht="21.75" customHeight="1">
      <c r="A1" s="313" t="s">
        <v>24</v>
      </c>
      <c r="B1" s="310"/>
      <c r="C1" s="310"/>
      <c r="D1" s="41"/>
      <c r="E1" s="42"/>
      <c r="F1" s="42"/>
      <c r="G1" s="43"/>
      <c r="H1" s="43"/>
    </row>
    <row r="2" spans="1:8" ht="12.75" customHeight="1">
      <c r="A2" s="45"/>
      <c r="B2" s="46"/>
      <c r="C2" s="45"/>
      <c r="D2" s="47"/>
      <c r="E2" s="42"/>
      <c r="F2" s="42"/>
      <c r="G2" s="42"/>
      <c r="H2" s="42"/>
    </row>
    <row r="3" spans="1:8" s="46" customFormat="1" ht="24" customHeight="1">
      <c r="A3" s="314" t="s">
        <v>25</v>
      </c>
      <c r="B3" s="314"/>
      <c r="C3" s="314"/>
      <c r="D3" s="310"/>
      <c r="E3" s="310"/>
      <c r="F3" s="48"/>
      <c r="G3" s="48"/>
      <c r="H3" s="48"/>
    </row>
    <row r="4" spans="1:8" s="46" customFormat="1" ht="15" customHeight="1" thickBot="1">
      <c r="A4" s="49"/>
      <c r="B4" s="49"/>
      <c r="C4" s="49"/>
      <c r="D4" s="49"/>
      <c r="E4" s="50"/>
      <c r="F4" s="50"/>
      <c r="G4" s="51" t="s">
        <v>4</v>
      </c>
      <c r="H4" s="50"/>
    </row>
    <row r="5" spans="1:8" ht="15.75">
      <c r="A5" s="52" t="s">
        <v>27</v>
      </c>
      <c r="B5" s="52" t="s">
        <v>28</v>
      </c>
      <c r="C5" s="52" t="s">
        <v>29</v>
      </c>
      <c r="D5" s="53" t="s">
        <v>30</v>
      </c>
      <c r="E5" s="54" t="s">
        <v>31</v>
      </c>
      <c r="F5" s="54" t="s">
        <v>31</v>
      </c>
      <c r="G5" s="54" t="s">
        <v>8</v>
      </c>
      <c r="H5" s="54" t="s">
        <v>32</v>
      </c>
    </row>
    <row r="6" spans="1:8" ht="15.75" customHeight="1" thickBot="1">
      <c r="A6" s="55"/>
      <c r="B6" s="55"/>
      <c r="C6" s="55"/>
      <c r="D6" s="56"/>
      <c r="E6" s="57" t="s">
        <v>33</v>
      </c>
      <c r="F6" s="57" t="s">
        <v>34</v>
      </c>
      <c r="G6" s="58" t="s">
        <v>35</v>
      </c>
      <c r="H6" s="57" t="s">
        <v>36</v>
      </c>
    </row>
    <row r="7" spans="1:8" ht="16.5" customHeight="1" thickTop="1">
      <c r="A7" s="59">
        <v>10</v>
      </c>
      <c r="B7" s="59"/>
      <c r="C7" s="59"/>
      <c r="D7" s="60" t="s">
        <v>37</v>
      </c>
      <c r="E7" s="61"/>
      <c r="F7" s="62"/>
      <c r="G7" s="63"/>
      <c r="H7" s="61"/>
    </row>
    <row r="8" spans="1:8" ht="15" customHeight="1">
      <c r="A8" s="59"/>
      <c r="B8" s="59"/>
      <c r="C8" s="59"/>
      <c r="D8" s="60"/>
      <c r="E8" s="61"/>
      <c r="F8" s="62"/>
      <c r="G8" s="63"/>
      <c r="H8" s="61"/>
    </row>
    <row r="9" spans="1:8" ht="15" customHeight="1" hidden="1">
      <c r="A9" s="64"/>
      <c r="B9" s="64"/>
      <c r="C9" s="64">
        <v>1344</v>
      </c>
      <c r="D9" s="64" t="s">
        <v>38</v>
      </c>
      <c r="E9" s="65">
        <v>0</v>
      </c>
      <c r="F9" s="66">
        <v>0</v>
      </c>
      <c r="G9" s="67"/>
      <c r="H9" s="65" t="e">
        <f>(#REF!/F9)*100</f>
        <v>#REF!</v>
      </c>
    </row>
    <row r="10" spans="1:9" ht="15">
      <c r="A10" s="64"/>
      <c r="B10" s="64"/>
      <c r="C10" s="64">
        <v>1361</v>
      </c>
      <c r="D10" s="64" t="s">
        <v>39</v>
      </c>
      <c r="E10" s="65">
        <v>5</v>
      </c>
      <c r="F10" s="66">
        <v>5</v>
      </c>
      <c r="G10" s="67">
        <v>5</v>
      </c>
      <c r="H10" s="65">
        <f>(G10/F10)*100</f>
        <v>100</v>
      </c>
      <c r="I10" s="68"/>
    </row>
    <row r="11" spans="1:8" ht="15" hidden="1">
      <c r="A11" s="69">
        <v>34053</v>
      </c>
      <c r="B11" s="69"/>
      <c r="C11" s="69">
        <v>4116</v>
      </c>
      <c r="D11" s="64" t="s">
        <v>40</v>
      </c>
      <c r="E11" s="70"/>
      <c r="F11" s="71"/>
      <c r="G11" s="72"/>
      <c r="H11" s="65" t="e">
        <f>(#REF!/F11)*100</f>
        <v>#REF!</v>
      </c>
    </row>
    <row r="12" spans="1:8" ht="15" hidden="1">
      <c r="A12" s="69">
        <v>34070</v>
      </c>
      <c r="B12" s="69"/>
      <c r="C12" s="69">
        <v>4116</v>
      </c>
      <c r="D12" s="64" t="s">
        <v>41</v>
      </c>
      <c r="E12" s="70"/>
      <c r="F12" s="71"/>
      <c r="G12" s="72"/>
      <c r="H12" s="65" t="e">
        <f>(#REF!/F12)*100</f>
        <v>#REF!</v>
      </c>
    </row>
    <row r="13" spans="1:8" ht="15">
      <c r="A13" s="69">
        <v>33123</v>
      </c>
      <c r="B13" s="69"/>
      <c r="C13" s="69">
        <v>4116</v>
      </c>
      <c r="D13" s="64" t="s">
        <v>42</v>
      </c>
      <c r="E13" s="65">
        <v>0</v>
      </c>
      <c r="F13" s="66">
        <v>1322.6</v>
      </c>
      <c r="G13" s="67">
        <v>1322.5</v>
      </c>
      <c r="H13" s="65">
        <f aca="true" t="shared" si="0" ref="H13:H58">(G13/F13)*100</f>
        <v>99.99243913503706</v>
      </c>
    </row>
    <row r="14" spans="1:8" ht="15" hidden="1">
      <c r="A14" s="69"/>
      <c r="B14" s="69"/>
      <c r="C14" s="69">
        <v>4121</v>
      </c>
      <c r="D14" s="69" t="s">
        <v>43</v>
      </c>
      <c r="E14" s="70"/>
      <c r="F14" s="71"/>
      <c r="G14" s="67"/>
      <c r="H14" s="65" t="e">
        <f t="shared" si="0"/>
        <v>#DIV/0!</v>
      </c>
    </row>
    <row r="15" spans="1:9" ht="15" hidden="1">
      <c r="A15" s="69">
        <v>331</v>
      </c>
      <c r="B15" s="69"/>
      <c r="C15" s="69">
        <v>4122</v>
      </c>
      <c r="D15" s="69" t="s">
        <v>44</v>
      </c>
      <c r="E15" s="73"/>
      <c r="F15" s="74"/>
      <c r="G15" s="72"/>
      <c r="H15" s="65" t="e">
        <f t="shared" si="0"/>
        <v>#DIV/0!</v>
      </c>
      <c r="I15" s="68"/>
    </row>
    <row r="16" spans="1:8" ht="15" hidden="1">
      <c r="A16" s="69">
        <v>214</v>
      </c>
      <c r="B16" s="69"/>
      <c r="C16" s="69">
        <v>4122</v>
      </c>
      <c r="D16" s="69" t="s">
        <v>45</v>
      </c>
      <c r="E16" s="73"/>
      <c r="F16" s="74"/>
      <c r="G16" s="72"/>
      <c r="H16" s="65" t="e">
        <f t="shared" si="0"/>
        <v>#DIV/0!</v>
      </c>
    </row>
    <row r="17" spans="1:8" ht="15" hidden="1">
      <c r="A17" s="69">
        <v>339</v>
      </c>
      <c r="B17" s="69"/>
      <c r="C17" s="69">
        <v>4122</v>
      </c>
      <c r="D17" s="69" t="s">
        <v>46</v>
      </c>
      <c r="E17" s="73"/>
      <c r="F17" s="74"/>
      <c r="G17" s="72"/>
      <c r="H17" s="65" t="e">
        <f t="shared" si="0"/>
        <v>#DIV/0!</v>
      </c>
    </row>
    <row r="18" spans="1:8" ht="15">
      <c r="A18" s="69">
        <v>33030</v>
      </c>
      <c r="B18" s="69"/>
      <c r="C18" s="69">
        <v>4122</v>
      </c>
      <c r="D18" s="69" t="s">
        <v>47</v>
      </c>
      <c r="E18" s="73">
        <v>0</v>
      </c>
      <c r="F18" s="74">
        <v>233.3</v>
      </c>
      <c r="G18" s="72">
        <v>233.3</v>
      </c>
      <c r="H18" s="65">
        <f t="shared" si="0"/>
        <v>100</v>
      </c>
    </row>
    <row r="19" spans="1:8" ht="15" hidden="1">
      <c r="A19" s="69">
        <v>33926</v>
      </c>
      <c r="B19" s="69"/>
      <c r="C19" s="69">
        <v>4222</v>
      </c>
      <c r="D19" s="69" t="s">
        <v>48</v>
      </c>
      <c r="E19" s="73"/>
      <c r="F19" s="74"/>
      <c r="G19" s="72"/>
      <c r="H19" s="65" t="e">
        <f t="shared" si="0"/>
        <v>#DIV/0!</v>
      </c>
    </row>
    <row r="20" spans="1:8" ht="15">
      <c r="A20" s="69"/>
      <c r="B20" s="69">
        <v>2143</v>
      </c>
      <c r="C20" s="69">
        <v>2111</v>
      </c>
      <c r="D20" s="69" t="s">
        <v>49</v>
      </c>
      <c r="E20" s="70">
        <v>400</v>
      </c>
      <c r="F20" s="71">
        <v>400</v>
      </c>
      <c r="G20" s="72">
        <v>68.2</v>
      </c>
      <c r="H20" s="65">
        <f t="shared" si="0"/>
        <v>17.05</v>
      </c>
    </row>
    <row r="21" spans="1:8" ht="15">
      <c r="A21" s="69"/>
      <c r="B21" s="69">
        <v>2143</v>
      </c>
      <c r="C21" s="69">
        <v>2112</v>
      </c>
      <c r="D21" s="69" t="s">
        <v>50</v>
      </c>
      <c r="E21" s="70">
        <v>200</v>
      </c>
      <c r="F21" s="71">
        <v>200</v>
      </c>
      <c r="G21" s="72">
        <v>47.1</v>
      </c>
      <c r="H21" s="65">
        <f t="shared" si="0"/>
        <v>23.55</v>
      </c>
    </row>
    <row r="22" spans="1:8" ht="15">
      <c r="A22" s="69"/>
      <c r="B22" s="69">
        <v>2143</v>
      </c>
      <c r="C22" s="69">
        <v>2212</v>
      </c>
      <c r="D22" s="69" t="s">
        <v>51</v>
      </c>
      <c r="E22" s="70">
        <v>120</v>
      </c>
      <c r="F22" s="71">
        <v>120</v>
      </c>
      <c r="G22" s="72">
        <v>40</v>
      </c>
      <c r="H22" s="65">
        <f t="shared" si="0"/>
        <v>33.33333333333333</v>
      </c>
    </row>
    <row r="23" spans="1:8" ht="15" hidden="1">
      <c r="A23" s="69"/>
      <c r="B23" s="69">
        <v>2143</v>
      </c>
      <c r="C23" s="69">
        <v>2324</v>
      </c>
      <c r="D23" s="69" t="s">
        <v>52</v>
      </c>
      <c r="E23" s="70">
        <v>0</v>
      </c>
      <c r="F23" s="71">
        <v>0</v>
      </c>
      <c r="G23" s="72"/>
      <c r="H23" s="65" t="e">
        <f t="shared" si="0"/>
        <v>#DIV/0!</v>
      </c>
    </row>
    <row r="24" spans="1:8" ht="15" hidden="1">
      <c r="A24" s="69"/>
      <c r="B24" s="69">
        <v>2143</v>
      </c>
      <c r="C24" s="69">
        <v>2329</v>
      </c>
      <c r="D24" s="69" t="s">
        <v>53</v>
      </c>
      <c r="E24" s="70"/>
      <c r="F24" s="71"/>
      <c r="G24" s="72"/>
      <c r="H24" s="65" t="e">
        <f t="shared" si="0"/>
        <v>#DIV/0!</v>
      </c>
    </row>
    <row r="25" spans="1:8" ht="15" hidden="1">
      <c r="A25" s="69"/>
      <c r="B25" s="69">
        <v>3111</v>
      </c>
      <c r="C25" s="69">
        <v>2122</v>
      </c>
      <c r="D25" s="69" t="s">
        <v>54</v>
      </c>
      <c r="E25" s="70">
        <v>0</v>
      </c>
      <c r="F25" s="71">
        <v>0</v>
      </c>
      <c r="G25" s="72"/>
      <c r="H25" s="65" t="e">
        <f t="shared" si="0"/>
        <v>#DIV/0!</v>
      </c>
    </row>
    <row r="26" spans="1:8" ht="15" hidden="1">
      <c r="A26" s="69"/>
      <c r="B26" s="69">
        <v>3113</v>
      </c>
      <c r="C26" s="69">
        <v>2119</v>
      </c>
      <c r="D26" s="69" t="s">
        <v>55</v>
      </c>
      <c r="E26" s="70">
        <v>0</v>
      </c>
      <c r="F26" s="71">
        <v>0</v>
      </c>
      <c r="G26" s="72"/>
      <c r="H26" s="65" t="e">
        <f t="shared" si="0"/>
        <v>#DIV/0!</v>
      </c>
    </row>
    <row r="27" spans="1:8" ht="15">
      <c r="A27" s="69"/>
      <c r="B27" s="69">
        <v>3113</v>
      </c>
      <c r="C27" s="69">
        <v>2122</v>
      </c>
      <c r="D27" s="69" t="s">
        <v>56</v>
      </c>
      <c r="E27" s="70">
        <v>1000</v>
      </c>
      <c r="F27" s="71">
        <v>1000</v>
      </c>
      <c r="G27" s="72">
        <v>1000</v>
      </c>
      <c r="H27" s="65">
        <f t="shared" si="0"/>
        <v>100</v>
      </c>
    </row>
    <row r="28" spans="1:9" ht="15">
      <c r="A28" s="69"/>
      <c r="B28" s="69">
        <v>3313</v>
      </c>
      <c r="C28" s="69">
        <v>2132</v>
      </c>
      <c r="D28" s="69" t="s">
        <v>57</v>
      </c>
      <c r="E28" s="70">
        <v>331.8</v>
      </c>
      <c r="F28" s="71">
        <v>331.8</v>
      </c>
      <c r="G28" s="72">
        <v>0</v>
      </c>
      <c r="H28" s="65">
        <f t="shared" si="0"/>
        <v>0</v>
      </c>
      <c r="I28" s="68"/>
    </row>
    <row r="29" spans="1:8" ht="15">
      <c r="A29" s="64"/>
      <c r="B29" s="64">
        <v>3313</v>
      </c>
      <c r="C29" s="64">
        <v>2133</v>
      </c>
      <c r="D29" s="64" t="s">
        <v>58</v>
      </c>
      <c r="E29" s="65">
        <v>18.2</v>
      </c>
      <c r="F29" s="66">
        <v>18.2</v>
      </c>
      <c r="G29" s="72">
        <v>0</v>
      </c>
      <c r="H29" s="65">
        <f t="shared" si="0"/>
        <v>0</v>
      </c>
    </row>
    <row r="30" spans="1:8" ht="15">
      <c r="A30" s="64"/>
      <c r="B30" s="64">
        <v>3313</v>
      </c>
      <c r="C30" s="64">
        <v>2324</v>
      </c>
      <c r="D30" s="64" t="s">
        <v>59</v>
      </c>
      <c r="E30" s="65">
        <v>0</v>
      </c>
      <c r="F30" s="66">
        <v>0</v>
      </c>
      <c r="G30" s="67">
        <v>96.8</v>
      </c>
      <c r="H30" s="65" t="e">
        <f t="shared" si="0"/>
        <v>#DIV/0!</v>
      </c>
    </row>
    <row r="31" spans="1:8" ht="15" hidden="1">
      <c r="A31" s="64"/>
      <c r="B31" s="64">
        <v>3392</v>
      </c>
      <c r="C31" s="64">
        <v>2329</v>
      </c>
      <c r="D31" s="64" t="s">
        <v>60</v>
      </c>
      <c r="E31" s="65"/>
      <c r="F31" s="66"/>
      <c r="G31" s="67"/>
      <c r="H31" s="65" t="e">
        <f t="shared" si="0"/>
        <v>#DIV/0!</v>
      </c>
    </row>
    <row r="32" spans="1:8" ht="15" hidden="1">
      <c r="A32" s="69"/>
      <c r="B32" s="69">
        <v>3314</v>
      </c>
      <c r="C32" s="69">
        <v>2229</v>
      </c>
      <c r="D32" s="69" t="s">
        <v>61</v>
      </c>
      <c r="E32" s="70"/>
      <c r="F32" s="71"/>
      <c r="G32" s="72"/>
      <c r="H32" s="65" t="e">
        <f t="shared" si="0"/>
        <v>#DIV/0!</v>
      </c>
    </row>
    <row r="33" spans="1:8" ht="15" hidden="1">
      <c r="A33" s="69"/>
      <c r="B33" s="69">
        <v>3315</v>
      </c>
      <c r="C33" s="69">
        <v>2322</v>
      </c>
      <c r="D33" s="69" t="s">
        <v>62</v>
      </c>
      <c r="E33" s="70"/>
      <c r="F33" s="71"/>
      <c r="G33" s="72"/>
      <c r="H33" s="65" t="e">
        <f t="shared" si="0"/>
        <v>#DIV/0!</v>
      </c>
    </row>
    <row r="34" spans="1:8" ht="15">
      <c r="A34" s="69"/>
      <c r="B34" s="69">
        <v>3319</v>
      </c>
      <c r="C34" s="69">
        <v>2324</v>
      </c>
      <c r="D34" s="69" t="s">
        <v>63</v>
      </c>
      <c r="E34" s="70">
        <v>0</v>
      </c>
      <c r="F34" s="71">
        <v>0</v>
      </c>
      <c r="G34" s="72">
        <v>5.8</v>
      </c>
      <c r="H34" s="65" t="e">
        <f t="shared" si="0"/>
        <v>#DIV/0!</v>
      </c>
    </row>
    <row r="35" spans="1:9" ht="15" customHeight="1" hidden="1">
      <c r="A35" s="64"/>
      <c r="B35" s="64">
        <v>3319</v>
      </c>
      <c r="C35" s="64">
        <v>2329</v>
      </c>
      <c r="D35" s="64" t="s">
        <v>64</v>
      </c>
      <c r="E35" s="65"/>
      <c r="F35" s="66"/>
      <c r="G35" s="67"/>
      <c r="H35" s="65" t="e">
        <f t="shared" si="0"/>
        <v>#DIV/0!</v>
      </c>
      <c r="I35" s="68"/>
    </row>
    <row r="36" spans="1:8" ht="15">
      <c r="A36" s="69"/>
      <c r="B36" s="69">
        <v>3326</v>
      </c>
      <c r="C36" s="69">
        <v>2212</v>
      </c>
      <c r="D36" s="69" t="s">
        <v>65</v>
      </c>
      <c r="E36" s="70">
        <v>20</v>
      </c>
      <c r="F36" s="71">
        <v>20</v>
      </c>
      <c r="G36" s="72">
        <v>6</v>
      </c>
      <c r="H36" s="65">
        <f t="shared" si="0"/>
        <v>30</v>
      </c>
    </row>
    <row r="37" spans="1:8" ht="15">
      <c r="A37" s="69"/>
      <c r="B37" s="69">
        <v>3326</v>
      </c>
      <c r="C37" s="69">
        <v>2324</v>
      </c>
      <c r="D37" s="69" t="s">
        <v>66</v>
      </c>
      <c r="E37" s="70">
        <v>2</v>
      </c>
      <c r="F37" s="71">
        <v>2</v>
      </c>
      <c r="G37" s="72">
        <v>2</v>
      </c>
      <c r="H37" s="65">
        <f t="shared" si="0"/>
        <v>100</v>
      </c>
    </row>
    <row r="38" spans="1:8" ht="15">
      <c r="A38" s="69"/>
      <c r="B38" s="69">
        <v>3399</v>
      </c>
      <c r="C38" s="69">
        <v>2111</v>
      </c>
      <c r="D38" s="69" t="s">
        <v>67</v>
      </c>
      <c r="E38" s="70">
        <v>200</v>
      </c>
      <c r="F38" s="71">
        <v>200</v>
      </c>
      <c r="G38" s="72">
        <v>203.4</v>
      </c>
      <c r="H38" s="65">
        <f t="shared" si="0"/>
        <v>101.70000000000002</v>
      </c>
    </row>
    <row r="39" spans="1:8" ht="15">
      <c r="A39" s="69"/>
      <c r="B39" s="69">
        <v>3399</v>
      </c>
      <c r="C39" s="69">
        <v>2112</v>
      </c>
      <c r="D39" s="69" t="s">
        <v>68</v>
      </c>
      <c r="E39" s="70">
        <v>0</v>
      </c>
      <c r="F39" s="71">
        <v>0</v>
      </c>
      <c r="G39" s="72">
        <v>3.6</v>
      </c>
      <c r="H39" s="65" t="e">
        <f t="shared" si="0"/>
        <v>#DIV/0!</v>
      </c>
    </row>
    <row r="40" spans="1:8" ht="15">
      <c r="A40" s="69"/>
      <c r="B40" s="69">
        <v>3399</v>
      </c>
      <c r="C40" s="69">
        <v>2133</v>
      </c>
      <c r="D40" s="69" t="s">
        <v>69</v>
      </c>
      <c r="E40" s="70">
        <v>50</v>
      </c>
      <c r="F40" s="71">
        <v>50</v>
      </c>
      <c r="G40" s="72">
        <v>0</v>
      </c>
      <c r="H40" s="65">
        <f t="shared" si="0"/>
        <v>0</v>
      </c>
    </row>
    <row r="41" spans="1:9" ht="15">
      <c r="A41" s="69"/>
      <c r="B41" s="69">
        <v>3399</v>
      </c>
      <c r="C41" s="69">
        <v>2321</v>
      </c>
      <c r="D41" s="69" t="s">
        <v>70</v>
      </c>
      <c r="E41" s="70">
        <v>120</v>
      </c>
      <c r="F41" s="71">
        <v>120</v>
      </c>
      <c r="G41" s="72">
        <v>0</v>
      </c>
      <c r="H41" s="65">
        <f t="shared" si="0"/>
        <v>0</v>
      </c>
      <c r="I41" s="68"/>
    </row>
    <row r="42" spans="1:8" ht="15">
      <c r="A42" s="69"/>
      <c r="B42" s="69">
        <v>3399</v>
      </c>
      <c r="C42" s="69">
        <v>2324</v>
      </c>
      <c r="D42" s="69" t="s">
        <v>71</v>
      </c>
      <c r="E42" s="70">
        <v>0</v>
      </c>
      <c r="F42" s="71">
        <v>0</v>
      </c>
      <c r="G42" s="72">
        <v>61</v>
      </c>
      <c r="H42" s="65" t="e">
        <f t="shared" si="0"/>
        <v>#DIV/0!</v>
      </c>
    </row>
    <row r="43" spans="1:8" ht="15" hidden="1">
      <c r="A43" s="64"/>
      <c r="B43" s="64">
        <v>3392</v>
      </c>
      <c r="C43" s="64">
        <v>2324</v>
      </c>
      <c r="D43" s="64" t="s">
        <v>72</v>
      </c>
      <c r="E43" s="70"/>
      <c r="F43" s="71"/>
      <c r="G43" s="72"/>
      <c r="H43" s="65" t="e">
        <f t="shared" si="0"/>
        <v>#DIV/0!</v>
      </c>
    </row>
    <row r="44" spans="1:8" ht="15" hidden="1">
      <c r="A44" s="64"/>
      <c r="B44" s="64">
        <v>3412</v>
      </c>
      <c r="C44" s="64">
        <v>2122</v>
      </c>
      <c r="D44" s="64" t="s">
        <v>73</v>
      </c>
      <c r="E44" s="70"/>
      <c r="F44" s="71"/>
      <c r="G44" s="72"/>
      <c r="H44" s="65" t="e">
        <f t="shared" si="0"/>
        <v>#DIV/0!</v>
      </c>
    </row>
    <row r="45" spans="1:8" ht="15" hidden="1">
      <c r="A45" s="69"/>
      <c r="B45" s="69">
        <v>3412</v>
      </c>
      <c r="C45" s="69">
        <v>2324</v>
      </c>
      <c r="D45" s="69" t="s">
        <v>74</v>
      </c>
      <c r="E45" s="70"/>
      <c r="F45" s="71"/>
      <c r="G45" s="72"/>
      <c r="H45" s="65" t="e">
        <f t="shared" si="0"/>
        <v>#DIV/0!</v>
      </c>
    </row>
    <row r="46" spans="1:8" ht="15" hidden="1">
      <c r="A46" s="69"/>
      <c r="B46" s="69">
        <v>3412</v>
      </c>
      <c r="C46" s="69">
        <v>2329</v>
      </c>
      <c r="D46" s="69" t="s">
        <v>75</v>
      </c>
      <c r="E46" s="70"/>
      <c r="F46" s="71"/>
      <c r="G46" s="72"/>
      <c r="H46" s="65" t="e">
        <f t="shared" si="0"/>
        <v>#DIV/0!</v>
      </c>
    </row>
    <row r="47" spans="1:8" ht="15">
      <c r="A47" s="69"/>
      <c r="B47" s="69">
        <v>3412</v>
      </c>
      <c r="C47" s="69">
        <v>2132</v>
      </c>
      <c r="D47" s="69" t="s">
        <v>76</v>
      </c>
      <c r="E47" s="70">
        <v>579.6</v>
      </c>
      <c r="F47" s="71">
        <v>579.6</v>
      </c>
      <c r="G47" s="67">
        <v>150</v>
      </c>
      <c r="H47" s="65">
        <f t="shared" si="0"/>
        <v>25.87991718426501</v>
      </c>
    </row>
    <row r="48" spans="1:9" ht="15">
      <c r="A48" s="69"/>
      <c r="B48" s="69">
        <v>3412</v>
      </c>
      <c r="C48" s="69">
        <v>2133</v>
      </c>
      <c r="D48" s="69" t="s">
        <v>77</v>
      </c>
      <c r="E48" s="70">
        <v>2.4</v>
      </c>
      <c r="F48" s="71">
        <v>2.4</v>
      </c>
      <c r="G48" s="67">
        <v>0</v>
      </c>
      <c r="H48" s="65">
        <f t="shared" si="0"/>
        <v>0</v>
      </c>
      <c r="I48" s="68"/>
    </row>
    <row r="49" spans="1:8" ht="15" hidden="1">
      <c r="A49" s="69"/>
      <c r="B49" s="69">
        <v>3412</v>
      </c>
      <c r="C49" s="69">
        <v>2229</v>
      </c>
      <c r="D49" s="69" t="s">
        <v>78</v>
      </c>
      <c r="E49" s="70"/>
      <c r="F49" s="71"/>
      <c r="G49" s="67"/>
      <c r="H49" s="65" t="e">
        <f t="shared" si="0"/>
        <v>#DIV/0!</v>
      </c>
    </row>
    <row r="50" spans="1:8" ht="15">
      <c r="A50" s="69"/>
      <c r="B50" s="69">
        <v>3412</v>
      </c>
      <c r="C50" s="69">
        <v>2324</v>
      </c>
      <c r="D50" s="69" t="s">
        <v>79</v>
      </c>
      <c r="E50" s="70">
        <v>0</v>
      </c>
      <c r="F50" s="71">
        <v>0</v>
      </c>
      <c r="G50" s="72">
        <v>22.1</v>
      </c>
      <c r="H50" s="65" t="e">
        <f t="shared" si="0"/>
        <v>#DIV/0!</v>
      </c>
    </row>
    <row r="51" spans="1:8" ht="15" hidden="1">
      <c r="A51" s="69"/>
      <c r="B51" s="69">
        <v>3419</v>
      </c>
      <c r="C51" s="69">
        <v>2132</v>
      </c>
      <c r="D51" s="69" t="s">
        <v>80</v>
      </c>
      <c r="E51" s="70"/>
      <c r="F51" s="71"/>
      <c r="G51" s="72"/>
      <c r="H51" s="65" t="e">
        <f t="shared" si="0"/>
        <v>#DIV/0!</v>
      </c>
    </row>
    <row r="52" spans="1:8" ht="15">
      <c r="A52" s="69"/>
      <c r="B52" s="69">
        <v>3419</v>
      </c>
      <c r="C52" s="69">
        <v>2229</v>
      </c>
      <c r="D52" s="69" t="s">
        <v>81</v>
      </c>
      <c r="E52" s="70">
        <v>0</v>
      </c>
      <c r="F52" s="71">
        <v>0</v>
      </c>
      <c r="G52" s="72">
        <v>30.7</v>
      </c>
      <c r="H52" s="65" t="e">
        <f t="shared" si="0"/>
        <v>#DIV/0!</v>
      </c>
    </row>
    <row r="53" spans="1:8" ht="15" hidden="1">
      <c r="A53" s="69"/>
      <c r="B53" s="69">
        <v>3421</v>
      </c>
      <c r="C53" s="69">
        <v>2132</v>
      </c>
      <c r="D53" s="69" t="s">
        <v>82</v>
      </c>
      <c r="E53" s="70"/>
      <c r="F53" s="71"/>
      <c r="G53" s="72"/>
      <c r="H53" s="65" t="e">
        <f t="shared" si="0"/>
        <v>#DIV/0!</v>
      </c>
    </row>
    <row r="54" spans="1:8" ht="15">
      <c r="A54" s="69"/>
      <c r="B54" s="69">
        <v>3421</v>
      </c>
      <c r="C54" s="69">
        <v>2229</v>
      </c>
      <c r="D54" s="69" t="s">
        <v>83</v>
      </c>
      <c r="E54" s="70">
        <v>0</v>
      </c>
      <c r="F54" s="71">
        <v>0</v>
      </c>
      <c r="G54" s="72">
        <v>6.4</v>
      </c>
      <c r="H54" s="65" t="e">
        <f t="shared" si="0"/>
        <v>#DIV/0!</v>
      </c>
    </row>
    <row r="55" spans="1:8" ht="15" hidden="1">
      <c r="A55" s="69"/>
      <c r="B55" s="69">
        <v>3421</v>
      </c>
      <c r="C55" s="69">
        <v>2324</v>
      </c>
      <c r="D55" s="69" t="s">
        <v>84</v>
      </c>
      <c r="E55" s="70"/>
      <c r="F55" s="71"/>
      <c r="G55" s="72"/>
      <c r="H55" s="65" t="e">
        <f t="shared" si="0"/>
        <v>#DIV/0!</v>
      </c>
    </row>
    <row r="56" spans="1:8" ht="15">
      <c r="A56" s="69"/>
      <c r="B56" s="69">
        <v>3429</v>
      </c>
      <c r="C56" s="69">
        <v>2229</v>
      </c>
      <c r="D56" s="69" t="s">
        <v>85</v>
      </c>
      <c r="E56" s="70">
        <v>0</v>
      </c>
      <c r="F56" s="71">
        <v>0</v>
      </c>
      <c r="G56" s="72">
        <v>7.2</v>
      </c>
      <c r="H56" s="65" t="e">
        <f t="shared" si="0"/>
        <v>#DIV/0!</v>
      </c>
    </row>
    <row r="57" spans="1:8" ht="15" hidden="1">
      <c r="A57" s="69"/>
      <c r="B57" s="69">
        <v>6171</v>
      </c>
      <c r="C57" s="69">
        <v>2212</v>
      </c>
      <c r="D57" s="69" t="s">
        <v>86</v>
      </c>
      <c r="E57" s="70"/>
      <c r="F57" s="71"/>
      <c r="G57" s="72"/>
      <c r="H57" s="65" t="e">
        <f t="shared" si="0"/>
        <v>#DIV/0!</v>
      </c>
    </row>
    <row r="58" spans="1:8" ht="15" customHeight="1">
      <c r="A58" s="64"/>
      <c r="B58" s="64">
        <v>6409</v>
      </c>
      <c r="C58" s="64">
        <v>2328</v>
      </c>
      <c r="D58" s="64" t="s">
        <v>87</v>
      </c>
      <c r="E58" s="65"/>
      <c r="F58" s="66"/>
      <c r="G58" s="67">
        <v>0</v>
      </c>
      <c r="H58" s="65" t="e">
        <f t="shared" si="0"/>
        <v>#DIV/0!</v>
      </c>
    </row>
    <row r="59" spans="1:8" ht="15" customHeight="1" thickBot="1">
      <c r="A59" s="75"/>
      <c r="B59" s="75"/>
      <c r="C59" s="75"/>
      <c r="D59" s="75"/>
      <c r="E59" s="76"/>
      <c r="F59" s="77"/>
      <c r="G59" s="78"/>
      <c r="H59" s="76"/>
    </row>
    <row r="60" spans="1:8" s="84" customFormat="1" ht="21.75" customHeight="1" thickBot="1" thickTop="1">
      <c r="A60" s="79"/>
      <c r="B60" s="79"/>
      <c r="C60" s="79"/>
      <c r="D60" s="80" t="s">
        <v>88</v>
      </c>
      <c r="E60" s="81">
        <f>SUM(E9:E58)</f>
        <v>3049</v>
      </c>
      <c r="F60" s="82">
        <f>SUM(F9:F58)</f>
        <v>4604.9</v>
      </c>
      <c r="G60" s="83">
        <f>SUM(G9:G58)</f>
        <v>3311.1</v>
      </c>
      <c r="H60" s="81">
        <f>(G60/F60)*100</f>
        <v>71.90384156007731</v>
      </c>
    </row>
    <row r="61" spans="1:8" ht="15" customHeight="1">
      <c r="A61" s="84"/>
      <c r="B61" s="84"/>
      <c r="C61" s="84"/>
      <c r="D61" s="84"/>
      <c r="E61" s="85"/>
      <c r="F61" s="85"/>
      <c r="G61" s="85"/>
      <c r="H61" s="85"/>
    </row>
    <row r="62" spans="1:8" ht="15" customHeight="1" hidden="1">
      <c r="A62" s="84"/>
      <c r="B62" s="84"/>
      <c r="C62" s="84"/>
      <c r="D62" s="84"/>
      <c r="E62" s="85"/>
      <c r="F62" s="85"/>
      <c r="G62" s="85"/>
      <c r="H62" s="85"/>
    </row>
    <row r="63" spans="1:8" ht="15" customHeight="1" thickBot="1">
      <c r="A63" s="84"/>
      <c r="B63" s="84"/>
      <c r="C63" s="84"/>
      <c r="D63" s="84"/>
      <c r="E63" s="85"/>
      <c r="F63" s="85"/>
      <c r="G63" s="85"/>
      <c r="H63" s="85"/>
    </row>
    <row r="64" spans="1:8" ht="15.75">
      <c r="A64" s="52" t="s">
        <v>27</v>
      </c>
      <c r="B64" s="52" t="s">
        <v>28</v>
      </c>
      <c r="C64" s="52" t="s">
        <v>29</v>
      </c>
      <c r="D64" s="53" t="s">
        <v>30</v>
      </c>
      <c r="E64" s="54" t="s">
        <v>31</v>
      </c>
      <c r="F64" s="54" t="s">
        <v>31</v>
      </c>
      <c r="G64" s="54" t="s">
        <v>8</v>
      </c>
      <c r="H64" s="54" t="s">
        <v>32</v>
      </c>
    </row>
    <row r="65" spans="1:8" ht="15.75" customHeight="1" thickBot="1">
      <c r="A65" s="55"/>
      <c r="B65" s="55"/>
      <c r="C65" s="55"/>
      <c r="D65" s="56"/>
      <c r="E65" s="57" t="s">
        <v>33</v>
      </c>
      <c r="F65" s="57" t="s">
        <v>34</v>
      </c>
      <c r="G65" s="58" t="s">
        <v>35</v>
      </c>
      <c r="H65" s="57" t="s">
        <v>36</v>
      </c>
    </row>
    <row r="66" spans="1:8" ht="15.75" customHeight="1" thickTop="1">
      <c r="A66" s="86">
        <v>20</v>
      </c>
      <c r="B66" s="59"/>
      <c r="C66" s="59"/>
      <c r="D66" s="60" t="s">
        <v>89</v>
      </c>
      <c r="E66" s="61"/>
      <c r="F66" s="62"/>
      <c r="G66" s="63"/>
      <c r="H66" s="61"/>
    </row>
    <row r="67" spans="1:8" ht="15.75" customHeight="1">
      <c r="A67" s="86"/>
      <c r="B67" s="59"/>
      <c r="C67" s="59"/>
      <c r="D67" s="60"/>
      <c r="E67" s="61"/>
      <c r="F67" s="62"/>
      <c r="G67" s="63"/>
      <c r="H67" s="61"/>
    </row>
    <row r="68" spans="1:8" ht="15.75" customHeight="1" hidden="1">
      <c r="A68" s="86"/>
      <c r="B68" s="59"/>
      <c r="C68" s="87">
        <v>2420</v>
      </c>
      <c r="D68" s="88" t="s">
        <v>90</v>
      </c>
      <c r="E68" s="61">
        <v>0</v>
      </c>
      <c r="F68" s="62">
        <v>0</v>
      </c>
      <c r="G68" s="72">
        <v>0</v>
      </c>
      <c r="H68" s="65" t="e">
        <f>(#REF!/F68)*100</f>
        <v>#REF!</v>
      </c>
    </row>
    <row r="69" spans="1:10" ht="15.75">
      <c r="A69" s="89"/>
      <c r="B69" s="59"/>
      <c r="C69" s="90">
        <v>4116</v>
      </c>
      <c r="D69" s="64" t="s">
        <v>91</v>
      </c>
      <c r="E69" s="65">
        <v>90</v>
      </c>
      <c r="F69" s="66">
        <v>2650.1</v>
      </c>
      <c r="G69" s="72">
        <v>357.1</v>
      </c>
      <c r="H69" s="65">
        <f aca="true" t="shared" si="1" ref="H69:H100">(G69/F69)*100</f>
        <v>13.474963208935515</v>
      </c>
      <c r="J69" s="68"/>
    </row>
    <row r="70" spans="1:8" ht="15.75" hidden="1">
      <c r="A70" s="89">
        <v>14005</v>
      </c>
      <c r="B70" s="59"/>
      <c r="C70" s="90">
        <v>4116</v>
      </c>
      <c r="D70" s="91" t="s">
        <v>92</v>
      </c>
      <c r="E70" s="65"/>
      <c r="F70" s="66"/>
      <c r="G70" s="72"/>
      <c r="H70" s="65" t="e">
        <f t="shared" si="1"/>
        <v>#DIV/0!</v>
      </c>
    </row>
    <row r="71" spans="1:8" ht="15.75" hidden="1">
      <c r="A71" s="89"/>
      <c r="B71" s="59"/>
      <c r="C71" s="90">
        <v>4122</v>
      </c>
      <c r="D71" s="91" t="s">
        <v>93</v>
      </c>
      <c r="E71" s="65"/>
      <c r="F71" s="66"/>
      <c r="G71" s="72"/>
      <c r="H71" s="65" t="e">
        <f t="shared" si="1"/>
        <v>#DIV/0!</v>
      </c>
    </row>
    <row r="72" spans="1:9" ht="15.75" customHeight="1" hidden="1">
      <c r="A72" s="89">
        <v>14009</v>
      </c>
      <c r="B72" s="59"/>
      <c r="C72" s="87">
        <v>4116</v>
      </c>
      <c r="D72" s="91" t="s">
        <v>94</v>
      </c>
      <c r="E72" s="61"/>
      <c r="F72" s="62"/>
      <c r="G72" s="72"/>
      <c r="H72" s="65" t="e">
        <f t="shared" si="1"/>
        <v>#DIV/0!</v>
      </c>
      <c r="I72" s="68"/>
    </row>
    <row r="73" spans="1:8" ht="15.75" customHeight="1" hidden="1">
      <c r="A73" s="89">
        <v>34002</v>
      </c>
      <c r="B73" s="59"/>
      <c r="C73" s="87">
        <v>4116</v>
      </c>
      <c r="D73" s="91" t="s">
        <v>95</v>
      </c>
      <c r="E73" s="61"/>
      <c r="F73" s="62"/>
      <c r="G73" s="72"/>
      <c r="H73" s="65" t="e">
        <f t="shared" si="1"/>
        <v>#DIV/0!</v>
      </c>
    </row>
    <row r="74" spans="1:8" ht="15.75" hidden="1">
      <c r="A74" s="89"/>
      <c r="B74" s="59"/>
      <c r="C74" s="87">
        <v>4122</v>
      </c>
      <c r="D74" s="91" t="s">
        <v>96</v>
      </c>
      <c r="E74" s="65"/>
      <c r="F74" s="66"/>
      <c r="G74" s="72"/>
      <c r="H74" s="65" t="e">
        <f t="shared" si="1"/>
        <v>#DIV/0!</v>
      </c>
    </row>
    <row r="75" spans="1:9" ht="15.75" customHeight="1" hidden="1">
      <c r="A75" s="89"/>
      <c r="B75" s="59"/>
      <c r="C75" s="87">
        <v>4213</v>
      </c>
      <c r="D75" s="88" t="s">
        <v>97</v>
      </c>
      <c r="E75" s="61"/>
      <c r="F75" s="62"/>
      <c r="G75" s="72"/>
      <c r="H75" s="65" t="e">
        <f t="shared" si="1"/>
        <v>#DIV/0!</v>
      </c>
      <c r="I75" s="68"/>
    </row>
    <row r="76" spans="1:10" ht="15.75" customHeight="1">
      <c r="A76" s="89">
        <v>71024</v>
      </c>
      <c r="B76" s="59"/>
      <c r="C76" s="87">
        <v>4213</v>
      </c>
      <c r="D76" s="88" t="s">
        <v>98</v>
      </c>
      <c r="E76" s="61">
        <v>100</v>
      </c>
      <c r="F76" s="62">
        <v>0</v>
      </c>
      <c r="G76" s="72">
        <v>0</v>
      </c>
      <c r="H76" s="65" t="e">
        <f t="shared" si="1"/>
        <v>#DIV/0!</v>
      </c>
      <c r="J76" s="68"/>
    </row>
    <row r="77" spans="1:9" ht="15.75" customHeight="1">
      <c r="A77" s="89">
        <v>81012</v>
      </c>
      <c r="B77" s="59"/>
      <c r="C77" s="87">
        <v>4213</v>
      </c>
      <c r="D77" s="88" t="s">
        <v>99</v>
      </c>
      <c r="E77" s="61">
        <v>140</v>
      </c>
      <c r="F77" s="62">
        <v>0</v>
      </c>
      <c r="G77" s="72">
        <v>0</v>
      </c>
      <c r="H77" s="65" t="e">
        <f t="shared" si="1"/>
        <v>#DIV/0!</v>
      </c>
      <c r="I77" s="68"/>
    </row>
    <row r="78" spans="1:8" ht="15.75" customHeight="1">
      <c r="A78" s="89">
        <v>1036</v>
      </c>
      <c r="B78" s="59"/>
      <c r="C78" s="87">
        <v>4213</v>
      </c>
      <c r="D78" s="88" t="s">
        <v>100</v>
      </c>
      <c r="E78" s="61">
        <v>35</v>
      </c>
      <c r="F78" s="62">
        <v>35</v>
      </c>
      <c r="G78" s="72">
        <v>0</v>
      </c>
      <c r="H78" s="65">
        <f t="shared" si="1"/>
        <v>0</v>
      </c>
    </row>
    <row r="79" spans="1:8" ht="15.75" customHeight="1">
      <c r="A79" s="89">
        <v>1046</v>
      </c>
      <c r="B79" s="59"/>
      <c r="C79" s="87">
        <v>4213</v>
      </c>
      <c r="D79" s="88" t="s">
        <v>101</v>
      </c>
      <c r="E79" s="61">
        <v>51</v>
      </c>
      <c r="F79" s="62">
        <v>51</v>
      </c>
      <c r="G79" s="72">
        <v>0</v>
      </c>
      <c r="H79" s="65">
        <f t="shared" si="1"/>
        <v>0</v>
      </c>
    </row>
    <row r="80" spans="1:8" ht="15.75" customHeight="1">
      <c r="A80" s="89">
        <v>1047</v>
      </c>
      <c r="B80" s="59"/>
      <c r="C80" s="87">
        <v>4213</v>
      </c>
      <c r="D80" s="88" t="s">
        <v>102</v>
      </c>
      <c r="E80" s="61">
        <v>321</v>
      </c>
      <c r="F80" s="62">
        <v>321</v>
      </c>
      <c r="G80" s="72">
        <v>0</v>
      </c>
      <c r="H80" s="65">
        <f t="shared" si="1"/>
        <v>0</v>
      </c>
    </row>
    <row r="81" spans="1:8" ht="15.75" customHeight="1">
      <c r="A81" s="89">
        <v>1047</v>
      </c>
      <c r="B81" s="59"/>
      <c r="C81" s="87">
        <v>4213</v>
      </c>
      <c r="D81" s="88" t="s">
        <v>103</v>
      </c>
      <c r="E81" s="61">
        <v>174</v>
      </c>
      <c r="F81" s="62">
        <v>174</v>
      </c>
      <c r="G81" s="72">
        <v>0</v>
      </c>
      <c r="H81" s="65">
        <f t="shared" si="1"/>
        <v>0</v>
      </c>
    </row>
    <row r="82" spans="1:8" ht="15.75">
      <c r="A82" s="89">
        <v>71024</v>
      </c>
      <c r="B82" s="59"/>
      <c r="C82" s="90">
        <v>4216</v>
      </c>
      <c r="D82" s="91" t="s">
        <v>104</v>
      </c>
      <c r="E82" s="65">
        <v>4300</v>
      </c>
      <c r="F82" s="66">
        <v>0</v>
      </c>
      <c r="G82" s="72">
        <v>0</v>
      </c>
      <c r="H82" s="65" t="e">
        <f t="shared" si="1"/>
        <v>#DIV/0!</v>
      </c>
    </row>
    <row r="83" spans="1:8" ht="15.75">
      <c r="A83" s="89">
        <v>81012</v>
      </c>
      <c r="B83" s="59"/>
      <c r="C83" s="90">
        <v>4216</v>
      </c>
      <c r="D83" s="91" t="s">
        <v>105</v>
      </c>
      <c r="E83" s="65">
        <v>2660</v>
      </c>
      <c r="F83" s="66">
        <v>0</v>
      </c>
      <c r="G83" s="72">
        <v>0</v>
      </c>
      <c r="H83" s="65" t="e">
        <f t="shared" si="1"/>
        <v>#DIV/0!</v>
      </c>
    </row>
    <row r="84" spans="1:8" ht="15.75">
      <c r="A84" s="89">
        <v>1036</v>
      </c>
      <c r="B84" s="59"/>
      <c r="C84" s="90">
        <v>4216</v>
      </c>
      <c r="D84" s="91" t="s">
        <v>106</v>
      </c>
      <c r="E84" s="65">
        <v>588</v>
      </c>
      <c r="F84" s="66">
        <v>588</v>
      </c>
      <c r="G84" s="72">
        <v>0</v>
      </c>
      <c r="H84" s="65">
        <f t="shared" si="1"/>
        <v>0</v>
      </c>
    </row>
    <row r="85" spans="1:8" ht="15.75">
      <c r="A85" s="89">
        <v>1045</v>
      </c>
      <c r="B85" s="59"/>
      <c r="C85" s="90">
        <v>4216</v>
      </c>
      <c r="D85" s="91" t="s">
        <v>107</v>
      </c>
      <c r="E85" s="65">
        <v>2125</v>
      </c>
      <c r="F85" s="66">
        <v>2125</v>
      </c>
      <c r="G85" s="72">
        <v>0</v>
      </c>
      <c r="H85" s="65">
        <f t="shared" si="1"/>
        <v>0</v>
      </c>
    </row>
    <row r="86" spans="1:8" ht="15.75">
      <c r="A86" s="89">
        <v>1046</v>
      </c>
      <c r="B86" s="59"/>
      <c r="C86" s="90">
        <v>4216</v>
      </c>
      <c r="D86" s="91" t="s">
        <v>108</v>
      </c>
      <c r="E86" s="65">
        <v>882</v>
      </c>
      <c r="F86" s="66">
        <v>882</v>
      </c>
      <c r="G86" s="72">
        <v>0</v>
      </c>
      <c r="H86" s="65">
        <f t="shared" si="1"/>
        <v>0</v>
      </c>
    </row>
    <row r="87" spans="1:8" ht="15.75">
      <c r="A87" s="89">
        <v>1047</v>
      </c>
      <c r="B87" s="59"/>
      <c r="C87" s="90">
        <v>4216</v>
      </c>
      <c r="D87" s="91" t="s">
        <v>109</v>
      </c>
      <c r="E87" s="65">
        <v>5464</v>
      </c>
      <c r="F87" s="66">
        <v>5464</v>
      </c>
      <c r="G87" s="72">
        <v>0</v>
      </c>
      <c r="H87" s="65">
        <f t="shared" si="1"/>
        <v>0</v>
      </c>
    </row>
    <row r="88" spans="1:8" ht="15.75">
      <c r="A88" s="89">
        <v>1048</v>
      </c>
      <c r="B88" s="59"/>
      <c r="C88" s="90">
        <v>4216</v>
      </c>
      <c r="D88" s="91" t="s">
        <v>110</v>
      </c>
      <c r="E88" s="65">
        <v>2959</v>
      </c>
      <c r="F88" s="66">
        <v>2959</v>
      </c>
      <c r="G88" s="72">
        <v>0</v>
      </c>
      <c r="H88" s="65">
        <f t="shared" si="1"/>
        <v>0</v>
      </c>
    </row>
    <row r="89" spans="1:8" ht="15" hidden="1">
      <c r="A89" s="92"/>
      <c r="B89" s="93"/>
      <c r="C89" s="90">
        <v>4216</v>
      </c>
      <c r="D89" s="94" t="s">
        <v>111</v>
      </c>
      <c r="E89" s="65"/>
      <c r="F89" s="66"/>
      <c r="G89" s="72"/>
      <c r="H89" s="65" t="e">
        <f t="shared" si="1"/>
        <v>#DIV/0!</v>
      </c>
    </row>
    <row r="90" spans="1:8" ht="15" hidden="1">
      <c r="A90" s="95"/>
      <c r="B90" s="96"/>
      <c r="C90" s="97">
        <v>4216</v>
      </c>
      <c r="D90" s="94" t="s">
        <v>111</v>
      </c>
      <c r="E90" s="70"/>
      <c r="F90" s="71"/>
      <c r="G90" s="72"/>
      <c r="H90" s="65" t="e">
        <f t="shared" si="1"/>
        <v>#DIV/0!</v>
      </c>
    </row>
    <row r="91" spans="1:8" ht="15" hidden="1">
      <c r="A91" s="95"/>
      <c r="B91" s="96"/>
      <c r="C91" s="97">
        <v>4222</v>
      </c>
      <c r="D91" s="94" t="s">
        <v>112</v>
      </c>
      <c r="E91" s="70"/>
      <c r="F91" s="71"/>
      <c r="G91" s="72"/>
      <c r="H91" s="65" t="e">
        <f t="shared" si="1"/>
        <v>#DIV/0!</v>
      </c>
    </row>
    <row r="92" spans="1:8" ht="15">
      <c r="A92" s="95"/>
      <c r="B92" s="96"/>
      <c r="C92" s="97">
        <v>4223</v>
      </c>
      <c r="D92" s="94" t="s">
        <v>113</v>
      </c>
      <c r="E92" s="70">
        <v>30000</v>
      </c>
      <c r="F92" s="71">
        <v>30000</v>
      </c>
      <c r="G92" s="72">
        <v>0</v>
      </c>
      <c r="H92" s="65">
        <f t="shared" si="1"/>
        <v>0</v>
      </c>
    </row>
    <row r="93" spans="1:8" ht="15" hidden="1">
      <c r="A93" s="95"/>
      <c r="B93" s="96">
        <v>2212</v>
      </c>
      <c r="C93" s="97">
        <v>2322</v>
      </c>
      <c r="D93" s="94" t="s">
        <v>114</v>
      </c>
      <c r="E93" s="70"/>
      <c r="F93" s="71"/>
      <c r="G93" s="72"/>
      <c r="H93" s="65" t="e">
        <f t="shared" si="1"/>
        <v>#DIV/0!</v>
      </c>
    </row>
    <row r="94" spans="1:8" ht="15">
      <c r="A94" s="95"/>
      <c r="B94" s="96">
        <v>2212</v>
      </c>
      <c r="C94" s="97">
        <v>2324</v>
      </c>
      <c r="D94" s="94" t="s">
        <v>115</v>
      </c>
      <c r="E94" s="70">
        <v>0</v>
      </c>
      <c r="F94" s="71">
        <v>0</v>
      </c>
      <c r="G94" s="72">
        <v>17.1</v>
      </c>
      <c r="H94" s="65" t="e">
        <f t="shared" si="1"/>
        <v>#DIV/0!</v>
      </c>
    </row>
    <row r="95" spans="1:8" ht="15" hidden="1">
      <c r="A95" s="95"/>
      <c r="B95" s="96">
        <v>2219</v>
      </c>
      <c r="C95" s="98">
        <v>2321</v>
      </c>
      <c r="D95" s="94" t="s">
        <v>116</v>
      </c>
      <c r="E95" s="70"/>
      <c r="F95" s="71"/>
      <c r="G95" s="72"/>
      <c r="H95" s="65" t="e">
        <f t="shared" si="1"/>
        <v>#DIV/0!</v>
      </c>
    </row>
    <row r="96" spans="1:8" ht="15" hidden="1">
      <c r="A96" s="95"/>
      <c r="B96" s="96">
        <v>2219</v>
      </c>
      <c r="C96" s="97">
        <v>2324</v>
      </c>
      <c r="D96" s="94" t="s">
        <v>117</v>
      </c>
      <c r="E96" s="70"/>
      <c r="F96" s="71"/>
      <c r="G96" s="72"/>
      <c r="H96" s="65" t="e">
        <f t="shared" si="1"/>
        <v>#DIV/0!</v>
      </c>
    </row>
    <row r="97" spans="1:8" ht="15" hidden="1">
      <c r="A97" s="95"/>
      <c r="B97" s="96">
        <v>2221</v>
      </c>
      <c r="C97" s="98">
        <v>2329</v>
      </c>
      <c r="D97" s="94" t="s">
        <v>118</v>
      </c>
      <c r="E97" s="70"/>
      <c r="F97" s="71"/>
      <c r="G97" s="72"/>
      <c r="H97" s="65" t="e">
        <f t="shared" si="1"/>
        <v>#DIV/0!</v>
      </c>
    </row>
    <row r="98" spans="1:8" ht="15">
      <c r="A98" s="99"/>
      <c r="B98" s="97">
        <v>3631</v>
      </c>
      <c r="C98" s="64">
        <v>2324</v>
      </c>
      <c r="D98" s="64" t="s">
        <v>119</v>
      </c>
      <c r="E98" s="100">
        <v>0</v>
      </c>
      <c r="F98" s="66">
        <v>0</v>
      </c>
      <c r="G98" s="67">
        <v>1016.8</v>
      </c>
      <c r="H98" s="65" t="e">
        <f t="shared" si="1"/>
        <v>#DIV/0!</v>
      </c>
    </row>
    <row r="99" spans="1:8" ht="15">
      <c r="A99" s="99"/>
      <c r="B99" s="97">
        <v>3725</v>
      </c>
      <c r="C99" s="64">
        <v>2324</v>
      </c>
      <c r="D99" s="64" t="s">
        <v>120</v>
      </c>
      <c r="E99" s="100">
        <v>2000</v>
      </c>
      <c r="F99" s="66">
        <v>2000</v>
      </c>
      <c r="G99" s="67">
        <v>552.5</v>
      </c>
      <c r="H99" s="65">
        <f t="shared" si="1"/>
        <v>27.625</v>
      </c>
    </row>
    <row r="100" spans="1:8" ht="15">
      <c r="A100" s="99"/>
      <c r="B100" s="97">
        <v>3745</v>
      </c>
      <c r="C100" s="64">
        <v>2324</v>
      </c>
      <c r="D100" s="64" t="s">
        <v>121</v>
      </c>
      <c r="E100" s="100">
        <v>0</v>
      </c>
      <c r="F100" s="66">
        <v>0</v>
      </c>
      <c r="G100" s="67">
        <v>34.8</v>
      </c>
      <c r="H100" s="65" t="e">
        <f t="shared" si="1"/>
        <v>#DIV/0!</v>
      </c>
    </row>
    <row r="101" spans="1:8" ht="15.75" thickBot="1">
      <c r="A101" s="101"/>
      <c r="B101" s="75"/>
      <c r="C101" s="75"/>
      <c r="D101" s="75"/>
      <c r="E101" s="76"/>
      <c r="F101" s="77"/>
      <c r="G101" s="78"/>
      <c r="H101" s="76"/>
    </row>
    <row r="102" spans="1:8" s="84" customFormat="1" ht="21.75" customHeight="1" thickBot="1" thickTop="1">
      <c r="A102" s="102"/>
      <c r="B102" s="79"/>
      <c r="C102" s="79"/>
      <c r="D102" s="80" t="s">
        <v>122</v>
      </c>
      <c r="E102" s="81">
        <f>SUM(E68:E101)</f>
        <v>51889</v>
      </c>
      <c r="F102" s="82">
        <f>SUM(F68:F101)</f>
        <v>47249.1</v>
      </c>
      <c r="G102" s="83">
        <f>SUM(G68:G101)</f>
        <v>1978.3</v>
      </c>
      <c r="H102" s="81">
        <f>(G102/F102)*100</f>
        <v>4.186958058460373</v>
      </c>
    </row>
    <row r="103" spans="1:8" ht="15" customHeight="1">
      <c r="A103" s="103"/>
      <c r="B103" s="103"/>
      <c r="C103" s="103"/>
      <c r="D103" s="47"/>
      <c r="E103" s="104"/>
      <c r="F103" s="104"/>
      <c r="G103" s="43"/>
      <c r="H103" s="43"/>
    </row>
    <row r="104" spans="1:8" ht="15" customHeight="1" hidden="1">
      <c r="A104" s="103"/>
      <c r="B104" s="103"/>
      <c r="C104" s="103"/>
      <c r="D104" s="47"/>
      <c r="E104" s="104"/>
      <c r="F104" s="104"/>
      <c r="G104" s="104"/>
      <c r="H104" s="104"/>
    </row>
    <row r="105" spans="1:8" ht="15" customHeight="1" thickBot="1">
      <c r="A105" s="103"/>
      <c r="B105" s="103"/>
      <c r="C105" s="103"/>
      <c r="D105" s="47"/>
      <c r="E105" s="104"/>
      <c r="F105" s="104"/>
      <c r="G105" s="104"/>
      <c r="H105" s="104"/>
    </row>
    <row r="106" spans="1:8" ht="15.75">
      <c r="A106" s="52" t="s">
        <v>27</v>
      </c>
      <c r="B106" s="52" t="s">
        <v>28</v>
      </c>
      <c r="C106" s="52" t="s">
        <v>29</v>
      </c>
      <c r="D106" s="53" t="s">
        <v>30</v>
      </c>
      <c r="E106" s="54" t="s">
        <v>31</v>
      </c>
      <c r="F106" s="54" t="s">
        <v>31</v>
      </c>
      <c r="G106" s="54" t="s">
        <v>8</v>
      </c>
      <c r="H106" s="54" t="s">
        <v>32</v>
      </c>
    </row>
    <row r="107" spans="1:8" ht="15.75" customHeight="1" thickBot="1">
      <c r="A107" s="55"/>
      <c r="B107" s="55"/>
      <c r="C107" s="55"/>
      <c r="D107" s="56"/>
      <c r="E107" s="57" t="s">
        <v>33</v>
      </c>
      <c r="F107" s="57" t="s">
        <v>34</v>
      </c>
      <c r="G107" s="58" t="s">
        <v>35</v>
      </c>
      <c r="H107" s="57" t="s">
        <v>36</v>
      </c>
    </row>
    <row r="108" spans="1:8" ht="16.5" customHeight="1" thickTop="1">
      <c r="A108" s="86">
        <v>30</v>
      </c>
      <c r="B108" s="59"/>
      <c r="C108" s="59"/>
      <c r="D108" s="60" t="s">
        <v>123</v>
      </c>
      <c r="E108" s="105"/>
      <c r="F108" s="106"/>
      <c r="G108" s="107"/>
      <c r="H108" s="105"/>
    </row>
    <row r="109" spans="1:8" ht="15" customHeight="1">
      <c r="A109" s="108"/>
      <c r="B109" s="109"/>
      <c r="C109" s="109"/>
      <c r="D109" s="109"/>
      <c r="E109" s="65"/>
      <c r="F109" s="66"/>
      <c r="G109" s="67"/>
      <c r="H109" s="65"/>
    </row>
    <row r="110" spans="1:8" ht="15" hidden="1">
      <c r="A110" s="99"/>
      <c r="B110" s="64"/>
      <c r="C110" s="64">
        <v>1361</v>
      </c>
      <c r="D110" s="64" t="s">
        <v>39</v>
      </c>
      <c r="E110" s="110"/>
      <c r="F110" s="111"/>
      <c r="G110" s="112"/>
      <c r="H110" s="65" t="e">
        <f>(#REF!/F110)*100</f>
        <v>#REF!</v>
      </c>
    </row>
    <row r="111" spans="1:8" ht="15">
      <c r="A111" s="99"/>
      <c r="B111" s="64"/>
      <c r="C111" s="64">
        <v>2460</v>
      </c>
      <c r="D111" s="64" t="s">
        <v>124</v>
      </c>
      <c r="E111" s="110">
        <v>0</v>
      </c>
      <c r="F111" s="111">
        <v>0</v>
      </c>
      <c r="G111" s="112">
        <v>5</v>
      </c>
      <c r="H111" s="65" t="e">
        <f aca="true" t="shared" si="2" ref="H111:H138">(G111/F111)*100</f>
        <v>#DIV/0!</v>
      </c>
    </row>
    <row r="112" spans="1:8" ht="15" customHeight="1" hidden="1">
      <c r="A112" s="99">
        <v>98071</v>
      </c>
      <c r="B112" s="64"/>
      <c r="C112" s="64">
        <v>4111</v>
      </c>
      <c r="D112" s="64" t="s">
        <v>125</v>
      </c>
      <c r="E112" s="110"/>
      <c r="F112" s="111"/>
      <c r="G112" s="112"/>
      <c r="H112" s="65" t="e">
        <f t="shared" si="2"/>
        <v>#DIV/0!</v>
      </c>
    </row>
    <row r="113" spans="1:8" ht="15" customHeight="1" hidden="1">
      <c r="A113" s="99">
        <v>98187</v>
      </c>
      <c r="B113" s="64"/>
      <c r="C113" s="64">
        <v>4111</v>
      </c>
      <c r="D113" s="64" t="s">
        <v>126</v>
      </c>
      <c r="E113" s="110"/>
      <c r="F113" s="111"/>
      <c r="G113" s="112"/>
      <c r="H113" s="65" t="e">
        <f t="shared" si="2"/>
        <v>#DIV/0!</v>
      </c>
    </row>
    <row r="114" spans="1:8" ht="15" hidden="1">
      <c r="A114" s="99">
        <v>98007</v>
      </c>
      <c r="B114" s="64"/>
      <c r="C114" s="64">
        <v>4111</v>
      </c>
      <c r="D114" s="64" t="s">
        <v>127</v>
      </c>
      <c r="E114" s="100"/>
      <c r="F114" s="66"/>
      <c r="G114" s="63"/>
      <c r="H114" s="65" t="e">
        <f t="shared" si="2"/>
        <v>#DIV/0!</v>
      </c>
    </row>
    <row r="115" spans="1:8" ht="15">
      <c r="A115" s="99">
        <v>98008</v>
      </c>
      <c r="B115" s="64"/>
      <c r="C115" s="64">
        <v>4111</v>
      </c>
      <c r="D115" s="64" t="s">
        <v>128</v>
      </c>
      <c r="E115" s="100">
        <v>0</v>
      </c>
      <c r="F115" s="66">
        <v>653</v>
      </c>
      <c r="G115" s="63">
        <v>653</v>
      </c>
      <c r="H115" s="65">
        <f t="shared" si="2"/>
        <v>100</v>
      </c>
    </row>
    <row r="116" spans="1:8" ht="15" hidden="1">
      <c r="A116" s="99">
        <v>98193</v>
      </c>
      <c r="B116" s="64"/>
      <c r="C116" s="64">
        <v>4111</v>
      </c>
      <c r="D116" s="64" t="s">
        <v>129</v>
      </c>
      <c r="E116" s="113"/>
      <c r="F116" s="62"/>
      <c r="G116" s="63"/>
      <c r="H116" s="65" t="e">
        <f t="shared" si="2"/>
        <v>#DIV/0!</v>
      </c>
    </row>
    <row r="117" spans="1:8" ht="15" customHeight="1">
      <c r="A117" s="99">
        <v>13011</v>
      </c>
      <c r="B117" s="64"/>
      <c r="C117" s="64">
        <v>4111</v>
      </c>
      <c r="D117" s="64" t="s">
        <v>130</v>
      </c>
      <c r="E117" s="110">
        <v>0</v>
      </c>
      <c r="F117" s="111">
        <v>2653.7</v>
      </c>
      <c r="G117" s="112">
        <v>2653.7</v>
      </c>
      <c r="H117" s="65">
        <f t="shared" si="2"/>
        <v>100</v>
      </c>
    </row>
    <row r="118" spans="1:8" ht="14.25" customHeight="1" hidden="1">
      <c r="A118" s="99">
        <v>27003</v>
      </c>
      <c r="B118" s="64"/>
      <c r="C118" s="64">
        <v>4116</v>
      </c>
      <c r="D118" s="64" t="s">
        <v>131</v>
      </c>
      <c r="E118" s="110"/>
      <c r="F118" s="111"/>
      <c r="G118" s="112"/>
      <c r="H118" s="65" t="e">
        <f t="shared" si="2"/>
        <v>#DIV/0!</v>
      </c>
    </row>
    <row r="119" spans="1:8" ht="15" customHeight="1" hidden="1">
      <c r="A119" s="99"/>
      <c r="B119" s="64"/>
      <c r="C119" s="64">
        <v>4121</v>
      </c>
      <c r="D119" s="64" t="s">
        <v>132</v>
      </c>
      <c r="E119" s="110"/>
      <c r="F119" s="111"/>
      <c r="G119" s="112"/>
      <c r="H119" s="65" t="e">
        <f t="shared" si="2"/>
        <v>#DIV/0!</v>
      </c>
    </row>
    <row r="120" spans="1:8" ht="15" customHeight="1" hidden="1">
      <c r="A120" s="99"/>
      <c r="B120" s="64"/>
      <c r="C120" s="64">
        <v>4122</v>
      </c>
      <c r="D120" s="64" t="s">
        <v>133</v>
      </c>
      <c r="E120" s="110"/>
      <c r="F120" s="111"/>
      <c r="G120" s="112"/>
      <c r="H120" s="65" t="e">
        <f t="shared" si="2"/>
        <v>#DIV/0!</v>
      </c>
    </row>
    <row r="121" spans="1:8" ht="15" hidden="1">
      <c r="A121" s="99"/>
      <c r="B121" s="64"/>
      <c r="C121" s="64">
        <v>4132</v>
      </c>
      <c r="D121" s="64" t="s">
        <v>134</v>
      </c>
      <c r="E121" s="110"/>
      <c r="F121" s="111"/>
      <c r="G121" s="112"/>
      <c r="H121" s="65" t="e">
        <f t="shared" si="2"/>
        <v>#DIV/0!</v>
      </c>
    </row>
    <row r="122" spans="1:8" ht="15" hidden="1">
      <c r="A122" s="99"/>
      <c r="B122" s="64"/>
      <c r="C122" s="64">
        <v>4216</v>
      </c>
      <c r="D122" s="64" t="s">
        <v>135</v>
      </c>
      <c r="E122" s="110"/>
      <c r="F122" s="111"/>
      <c r="G122" s="112"/>
      <c r="H122" s="65" t="e">
        <f t="shared" si="2"/>
        <v>#DIV/0!</v>
      </c>
    </row>
    <row r="123" spans="1:8" ht="15" customHeight="1" hidden="1">
      <c r="A123" s="99"/>
      <c r="B123" s="64"/>
      <c r="C123" s="64">
        <v>4222</v>
      </c>
      <c r="D123" s="64" t="s">
        <v>136</v>
      </c>
      <c r="E123" s="110"/>
      <c r="F123" s="111"/>
      <c r="G123" s="112"/>
      <c r="H123" s="65" t="e">
        <f t="shared" si="2"/>
        <v>#DIV/0!</v>
      </c>
    </row>
    <row r="124" spans="1:8" ht="15">
      <c r="A124" s="99"/>
      <c r="B124" s="64">
        <v>3341</v>
      </c>
      <c r="C124" s="64">
        <v>2111</v>
      </c>
      <c r="D124" s="64" t="s">
        <v>137</v>
      </c>
      <c r="E124" s="114">
        <v>3</v>
      </c>
      <c r="F124" s="115">
        <v>3</v>
      </c>
      <c r="G124" s="116">
        <v>1.5</v>
      </c>
      <c r="H124" s="65">
        <f t="shared" si="2"/>
        <v>50</v>
      </c>
    </row>
    <row r="125" spans="1:8" ht="15">
      <c r="A125" s="99"/>
      <c r="B125" s="64">
        <v>3349</v>
      </c>
      <c r="C125" s="64">
        <v>2111</v>
      </c>
      <c r="D125" s="64" t="s">
        <v>138</v>
      </c>
      <c r="E125" s="114">
        <v>900</v>
      </c>
      <c r="F125" s="115">
        <v>900</v>
      </c>
      <c r="G125" s="116">
        <v>280.7</v>
      </c>
      <c r="H125" s="65">
        <f t="shared" si="2"/>
        <v>31.18888888888889</v>
      </c>
    </row>
    <row r="126" spans="1:8" ht="15" hidden="1">
      <c r="A126" s="99"/>
      <c r="B126" s="64">
        <v>5512</v>
      </c>
      <c r="C126" s="64">
        <v>2132</v>
      </c>
      <c r="D126" s="64" t="s">
        <v>139</v>
      </c>
      <c r="E126" s="65"/>
      <c r="F126" s="66"/>
      <c r="G126" s="67"/>
      <c r="H126" s="65" t="e">
        <f t="shared" si="2"/>
        <v>#DIV/0!</v>
      </c>
    </row>
    <row r="127" spans="1:8" ht="15">
      <c r="A127" s="99"/>
      <c r="B127" s="64">
        <v>5512</v>
      </c>
      <c r="C127" s="64">
        <v>2324</v>
      </c>
      <c r="D127" s="64" t="s">
        <v>140</v>
      </c>
      <c r="E127" s="65">
        <v>0</v>
      </c>
      <c r="F127" s="66">
        <v>0</v>
      </c>
      <c r="G127" s="67">
        <v>17.4</v>
      </c>
      <c r="H127" s="65" t="e">
        <f t="shared" si="2"/>
        <v>#DIV/0!</v>
      </c>
    </row>
    <row r="128" spans="1:8" ht="15" hidden="1">
      <c r="A128" s="99"/>
      <c r="B128" s="64">
        <v>5512</v>
      </c>
      <c r="C128" s="64">
        <v>3113</v>
      </c>
      <c r="D128" s="64" t="s">
        <v>141</v>
      </c>
      <c r="E128" s="65"/>
      <c r="F128" s="66"/>
      <c r="G128" s="63"/>
      <c r="H128" s="65" t="e">
        <f t="shared" si="2"/>
        <v>#DIV/0!</v>
      </c>
    </row>
    <row r="129" spans="1:8" ht="15">
      <c r="A129" s="99"/>
      <c r="B129" s="64">
        <v>6171</v>
      </c>
      <c r="C129" s="64">
        <v>2111</v>
      </c>
      <c r="D129" s="64" t="s">
        <v>142</v>
      </c>
      <c r="E129" s="114">
        <v>150</v>
      </c>
      <c r="F129" s="115">
        <v>150</v>
      </c>
      <c r="G129" s="116">
        <v>52.1</v>
      </c>
      <c r="H129" s="65">
        <f t="shared" si="2"/>
        <v>34.733333333333334</v>
      </c>
    </row>
    <row r="130" spans="1:8" ht="15">
      <c r="A130" s="99"/>
      <c r="B130" s="64">
        <v>6171</v>
      </c>
      <c r="C130" s="64">
        <v>2132</v>
      </c>
      <c r="D130" s="64" t="s">
        <v>143</v>
      </c>
      <c r="E130" s="100">
        <v>60</v>
      </c>
      <c r="F130" s="66">
        <v>60</v>
      </c>
      <c r="G130" s="67">
        <v>39.3</v>
      </c>
      <c r="H130" s="65">
        <f t="shared" si="2"/>
        <v>65.49999999999999</v>
      </c>
    </row>
    <row r="131" spans="1:8" ht="15" hidden="1">
      <c r="A131" s="99"/>
      <c r="B131" s="64">
        <v>6171</v>
      </c>
      <c r="C131" s="64">
        <v>2210</v>
      </c>
      <c r="D131" s="64" t="s">
        <v>144</v>
      </c>
      <c r="E131" s="70"/>
      <c r="F131" s="71"/>
      <c r="G131" s="72"/>
      <c r="H131" s="65" t="e">
        <f t="shared" si="2"/>
        <v>#DIV/0!</v>
      </c>
    </row>
    <row r="132" spans="1:8" ht="15" hidden="1">
      <c r="A132" s="99"/>
      <c r="B132" s="64">
        <v>6171</v>
      </c>
      <c r="C132" s="64">
        <v>2310</v>
      </c>
      <c r="D132" s="64" t="s">
        <v>145</v>
      </c>
      <c r="E132" s="65"/>
      <c r="F132" s="66"/>
      <c r="G132" s="67"/>
      <c r="H132" s="65" t="e">
        <f t="shared" si="2"/>
        <v>#DIV/0!</v>
      </c>
    </row>
    <row r="133" spans="1:8" ht="15" hidden="1">
      <c r="A133" s="99"/>
      <c r="B133" s="64">
        <v>6171</v>
      </c>
      <c r="C133" s="64">
        <v>2310</v>
      </c>
      <c r="D133" s="64" t="s">
        <v>145</v>
      </c>
      <c r="E133" s="65"/>
      <c r="F133" s="66"/>
      <c r="G133" s="67"/>
      <c r="H133" s="65" t="e">
        <f t="shared" si="2"/>
        <v>#DIV/0!</v>
      </c>
    </row>
    <row r="134" spans="1:8" ht="15" hidden="1">
      <c r="A134" s="99"/>
      <c r="B134" s="64">
        <v>6171</v>
      </c>
      <c r="C134" s="64">
        <v>2133</v>
      </c>
      <c r="D134" s="64" t="s">
        <v>146</v>
      </c>
      <c r="E134" s="117"/>
      <c r="F134" s="115"/>
      <c r="G134" s="116"/>
      <c r="H134" s="65" t="e">
        <f t="shared" si="2"/>
        <v>#DIV/0!</v>
      </c>
    </row>
    <row r="135" spans="1:8" ht="15" hidden="1">
      <c r="A135" s="99"/>
      <c r="B135" s="64">
        <v>6171</v>
      </c>
      <c r="C135" s="64">
        <v>2310</v>
      </c>
      <c r="D135" s="64" t="s">
        <v>147</v>
      </c>
      <c r="E135" s="117"/>
      <c r="F135" s="115"/>
      <c r="G135" s="116"/>
      <c r="H135" s="65" t="e">
        <f t="shared" si="2"/>
        <v>#DIV/0!</v>
      </c>
    </row>
    <row r="136" spans="1:8" ht="15" hidden="1">
      <c r="A136" s="99"/>
      <c r="B136" s="64">
        <v>6171</v>
      </c>
      <c r="C136" s="64">
        <v>2322</v>
      </c>
      <c r="D136" s="64" t="s">
        <v>148</v>
      </c>
      <c r="E136" s="100"/>
      <c r="F136" s="66"/>
      <c r="G136" s="67"/>
      <c r="H136" s="65" t="e">
        <f t="shared" si="2"/>
        <v>#DIV/0!</v>
      </c>
    </row>
    <row r="137" spans="1:8" ht="15">
      <c r="A137" s="99"/>
      <c r="B137" s="64">
        <v>6171</v>
      </c>
      <c r="C137" s="64">
        <v>2324</v>
      </c>
      <c r="D137" s="64" t="s">
        <v>149</v>
      </c>
      <c r="E137" s="100">
        <v>50</v>
      </c>
      <c r="F137" s="66">
        <v>50</v>
      </c>
      <c r="G137" s="67">
        <v>666.6</v>
      </c>
      <c r="H137" s="65">
        <f t="shared" si="2"/>
        <v>1333.2</v>
      </c>
    </row>
    <row r="138" spans="1:8" ht="15">
      <c r="A138" s="99"/>
      <c r="B138" s="64">
        <v>6171</v>
      </c>
      <c r="C138" s="64">
        <v>2329</v>
      </c>
      <c r="D138" s="64" t="s">
        <v>150</v>
      </c>
      <c r="E138" s="100">
        <v>0</v>
      </c>
      <c r="F138" s="66">
        <v>0</v>
      </c>
      <c r="G138" s="63">
        <v>3.5</v>
      </c>
      <c r="H138" s="65" t="e">
        <f t="shared" si="2"/>
        <v>#DIV/0!</v>
      </c>
    </row>
    <row r="139" spans="1:8" ht="15" hidden="1">
      <c r="A139" s="118"/>
      <c r="B139" s="69">
        <v>6171</v>
      </c>
      <c r="C139" s="69">
        <v>3113</v>
      </c>
      <c r="D139" s="69" t="s">
        <v>151</v>
      </c>
      <c r="E139" s="119"/>
      <c r="F139" s="71"/>
      <c r="G139" s="78"/>
      <c r="H139" s="70"/>
    </row>
    <row r="140" spans="1:8" ht="15.75" thickBot="1">
      <c r="A140" s="120"/>
      <c r="B140" s="121"/>
      <c r="C140" s="121"/>
      <c r="D140" s="121"/>
      <c r="E140" s="122"/>
      <c r="F140" s="123"/>
      <c r="G140" s="124"/>
      <c r="H140" s="122"/>
    </row>
    <row r="141" spans="1:8" s="84" customFormat="1" ht="21.75" customHeight="1" thickBot="1" thickTop="1">
      <c r="A141" s="125"/>
      <c r="B141" s="126"/>
      <c r="C141" s="126"/>
      <c r="D141" s="127" t="s">
        <v>152</v>
      </c>
      <c r="E141" s="128">
        <f>SUM(E110:E140)</f>
        <v>1163</v>
      </c>
      <c r="F141" s="129">
        <f>SUM(F110:F140)</f>
        <v>4469.7</v>
      </c>
      <c r="G141" s="130">
        <f>SUM(G109:G140)</f>
        <v>4372.8</v>
      </c>
      <c r="H141" s="81">
        <f>(G141/F141)*100</f>
        <v>97.83206926639373</v>
      </c>
    </row>
    <row r="142" spans="1:8" ht="15" customHeight="1">
      <c r="A142" s="103"/>
      <c r="B142" s="103"/>
      <c r="C142" s="103"/>
      <c r="D142" s="47"/>
      <c r="E142" s="104"/>
      <c r="F142" s="104"/>
      <c r="G142" s="104"/>
      <c r="H142" s="104"/>
    </row>
    <row r="143" spans="1:8" ht="15" customHeight="1" hidden="1">
      <c r="A143" s="103"/>
      <c r="B143" s="103"/>
      <c r="C143" s="103"/>
      <c r="D143" s="47"/>
      <c r="E143" s="104"/>
      <c r="F143" s="104"/>
      <c r="G143" s="104"/>
      <c r="H143" s="104"/>
    </row>
    <row r="144" spans="1:8" ht="12.75" customHeight="1" hidden="1">
      <c r="A144" s="103"/>
      <c r="B144" s="103"/>
      <c r="C144" s="103"/>
      <c r="D144" s="47"/>
      <c r="E144" s="104"/>
      <c r="F144" s="104"/>
      <c r="G144" s="104"/>
      <c r="H144" s="104"/>
    </row>
    <row r="145" spans="1:8" ht="15" customHeight="1" thickBot="1">
      <c r="A145" s="103"/>
      <c r="B145" s="103"/>
      <c r="C145" s="103"/>
      <c r="D145" s="47"/>
      <c r="E145" s="104"/>
      <c r="F145" s="104"/>
      <c r="G145" s="104"/>
      <c r="H145" s="104"/>
    </row>
    <row r="146" spans="1:8" ht="15.75">
      <c r="A146" s="52" t="s">
        <v>27</v>
      </c>
      <c r="B146" s="52" t="s">
        <v>28</v>
      </c>
      <c r="C146" s="52" t="s">
        <v>29</v>
      </c>
      <c r="D146" s="53" t="s">
        <v>30</v>
      </c>
      <c r="E146" s="54" t="s">
        <v>31</v>
      </c>
      <c r="F146" s="54" t="s">
        <v>31</v>
      </c>
      <c r="G146" s="54" t="s">
        <v>8</v>
      </c>
      <c r="H146" s="54" t="s">
        <v>32</v>
      </c>
    </row>
    <row r="147" spans="1:8" ht="15.75" customHeight="1" thickBot="1">
      <c r="A147" s="55"/>
      <c r="B147" s="55"/>
      <c r="C147" s="55"/>
      <c r="D147" s="56"/>
      <c r="E147" s="57" t="s">
        <v>33</v>
      </c>
      <c r="F147" s="57" t="s">
        <v>34</v>
      </c>
      <c r="G147" s="58" t="s">
        <v>35</v>
      </c>
      <c r="H147" s="57" t="s">
        <v>36</v>
      </c>
    </row>
    <row r="148" spans="1:8" ht="16.5" customHeight="1" thickTop="1">
      <c r="A148" s="59">
        <v>50</v>
      </c>
      <c r="B148" s="59"/>
      <c r="C148" s="59"/>
      <c r="D148" s="60" t="s">
        <v>153</v>
      </c>
      <c r="E148" s="61"/>
      <c r="F148" s="62"/>
      <c r="G148" s="63"/>
      <c r="H148" s="61"/>
    </row>
    <row r="149" spans="1:8" ht="15" customHeight="1">
      <c r="A149" s="64"/>
      <c r="B149" s="64"/>
      <c r="C149" s="64"/>
      <c r="D149" s="109"/>
      <c r="E149" s="65"/>
      <c r="F149" s="66"/>
      <c r="G149" s="67"/>
      <c r="H149" s="65"/>
    </row>
    <row r="150" spans="1:8" ht="15" hidden="1">
      <c r="A150" s="64"/>
      <c r="B150" s="64"/>
      <c r="C150" s="64">
        <v>1361</v>
      </c>
      <c r="D150" s="64" t="s">
        <v>39</v>
      </c>
      <c r="E150" s="100"/>
      <c r="F150" s="66"/>
      <c r="G150" s="67"/>
      <c r="H150" s="65" t="e">
        <f>(#REF!/F150)*100</f>
        <v>#REF!</v>
      </c>
    </row>
    <row r="151" spans="1:8" ht="15">
      <c r="A151" s="64"/>
      <c r="B151" s="64"/>
      <c r="C151" s="64">
        <v>2451</v>
      </c>
      <c r="D151" s="64" t="s">
        <v>154</v>
      </c>
      <c r="E151" s="65">
        <v>4000</v>
      </c>
      <c r="F151" s="66">
        <v>4000</v>
      </c>
      <c r="G151" s="67">
        <v>4000</v>
      </c>
      <c r="H151" s="65">
        <f aca="true" t="shared" si="3" ref="H151:H167">(G151/F151)*100</f>
        <v>100</v>
      </c>
    </row>
    <row r="152" spans="1:8" ht="15" hidden="1">
      <c r="A152" s="64"/>
      <c r="B152" s="64"/>
      <c r="C152" s="64">
        <v>4116</v>
      </c>
      <c r="D152" s="64" t="s">
        <v>155</v>
      </c>
      <c r="E152" s="65"/>
      <c r="F152" s="66"/>
      <c r="G152" s="67"/>
      <c r="H152" s="65" t="e">
        <f t="shared" si="3"/>
        <v>#DIV/0!</v>
      </c>
    </row>
    <row r="153" spans="1:8" ht="15" hidden="1">
      <c r="A153" s="64">
        <v>434</v>
      </c>
      <c r="B153" s="64"/>
      <c r="C153" s="64">
        <v>4122</v>
      </c>
      <c r="D153" s="64" t="s">
        <v>156</v>
      </c>
      <c r="E153" s="65"/>
      <c r="F153" s="66"/>
      <c r="G153" s="67"/>
      <c r="H153" s="65" t="e">
        <f t="shared" si="3"/>
        <v>#DIV/0!</v>
      </c>
    </row>
    <row r="154" spans="1:8" ht="15" customHeight="1">
      <c r="A154" s="64"/>
      <c r="B154" s="64">
        <v>3599</v>
      </c>
      <c r="C154" s="64">
        <v>2324</v>
      </c>
      <c r="D154" s="64" t="s">
        <v>157</v>
      </c>
      <c r="E154" s="65">
        <v>3</v>
      </c>
      <c r="F154" s="66">
        <v>3</v>
      </c>
      <c r="G154" s="67">
        <v>1</v>
      </c>
      <c r="H154" s="65">
        <f t="shared" si="3"/>
        <v>33.33333333333333</v>
      </c>
    </row>
    <row r="155" spans="1:8" ht="15" customHeight="1">
      <c r="A155" s="64"/>
      <c r="B155" s="64">
        <v>4171</v>
      </c>
      <c r="C155" s="64">
        <v>2229</v>
      </c>
      <c r="D155" s="64" t="s">
        <v>158</v>
      </c>
      <c r="E155" s="65">
        <v>0</v>
      </c>
      <c r="F155" s="66">
        <v>0</v>
      </c>
      <c r="G155" s="67">
        <v>4</v>
      </c>
      <c r="H155" s="65" t="e">
        <f t="shared" si="3"/>
        <v>#DIV/0!</v>
      </c>
    </row>
    <row r="156" spans="1:8" ht="15" customHeight="1">
      <c r="A156" s="64"/>
      <c r="B156" s="64">
        <v>4179</v>
      </c>
      <c r="C156" s="64">
        <v>2229</v>
      </c>
      <c r="D156" s="64" t="s">
        <v>159</v>
      </c>
      <c r="E156" s="65">
        <v>0</v>
      </c>
      <c r="F156" s="66">
        <v>0</v>
      </c>
      <c r="G156" s="67">
        <v>1.5</v>
      </c>
      <c r="H156" s="65" t="e">
        <f t="shared" si="3"/>
        <v>#DIV/0!</v>
      </c>
    </row>
    <row r="157" spans="1:8" ht="15">
      <c r="A157" s="64"/>
      <c r="B157" s="64">
        <v>4195</v>
      </c>
      <c r="C157" s="64">
        <v>2229</v>
      </c>
      <c r="D157" s="64" t="s">
        <v>160</v>
      </c>
      <c r="E157" s="65">
        <v>0</v>
      </c>
      <c r="F157" s="66">
        <v>0</v>
      </c>
      <c r="G157" s="67">
        <v>8</v>
      </c>
      <c r="H157" s="65" t="e">
        <f t="shared" si="3"/>
        <v>#DIV/0!</v>
      </c>
    </row>
    <row r="158" spans="1:8" ht="15" hidden="1">
      <c r="A158" s="64"/>
      <c r="B158" s="64">
        <v>4329</v>
      </c>
      <c r="C158" s="64">
        <v>2229</v>
      </c>
      <c r="D158" s="64" t="s">
        <v>161</v>
      </c>
      <c r="E158" s="65"/>
      <c r="F158" s="66"/>
      <c r="G158" s="67"/>
      <c r="H158" s="65" t="e">
        <f t="shared" si="3"/>
        <v>#DIV/0!</v>
      </c>
    </row>
    <row r="159" spans="1:8" ht="15" hidden="1">
      <c r="A159" s="64"/>
      <c r="B159" s="64">
        <v>4329</v>
      </c>
      <c r="C159" s="64">
        <v>2324</v>
      </c>
      <c r="D159" s="64" t="s">
        <v>162</v>
      </c>
      <c r="E159" s="65"/>
      <c r="F159" s="66"/>
      <c r="G159" s="67"/>
      <c r="H159" s="65" t="e">
        <f t="shared" si="3"/>
        <v>#DIV/0!</v>
      </c>
    </row>
    <row r="160" spans="1:8" ht="15" hidden="1">
      <c r="A160" s="64"/>
      <c r="B160" s="64">
        <v>4342</v>
      </c>
      <c r="C160" s="64">
        <v>2324</v>
      </c>
      <c r="D160" s="64" t="s">
        <v>163</v>
      </c>
      <c r="E160" s="65"/>
      <c r="F160" s="66"/>
      <c r="G160" s="67"/>
      <c r="H160" s="65" t="e">
        <f t="shared" si="3"/>
        <v>#DIV/0!</v>
      </c>
    </row>
    <row r="161" spans="1:8" ht="15" hidden="1">
      <c r="A161" s="64"/>
      <c r="B161" s="64">
        <v>4349</v>
      </c>
      <c r="C161" s="64">
        <v>2229</v>
      </c>
      <c r="D161" s="64" t="s">
        <v>164</v>
      </c>
      <c r="E161" s="65"/>
      <c r="F161" s="66"/>
      <c r="G161" s="67"/>
      <c r="H161" s="65" t="e">
        <f t="shared" si="3"/>
        <v>#DIV/0!</v>
      </c>
    </row>
    <row r="162" spans="1:8" ht="15" hidden="1">
      <c r="A162" s="64"/>
      <c r="B162" s="64">
        <v>4399</v>
      </c>
      <c r="C162" s="64">
        <v>2111</v>
      </c>
      <c r="D162" s="64" t="s">
        <v>165</v>
      </c>
      <c r="E162" s="65"/>
      <c r="F162" s="66"/>
      <c r="G162" s="67"/>
      <c r="H162" s="65" t="e">
        <f t="shared" si="3"/>
        <v>#DIV/0!</v>
      </c>
    </row>
    <row r="163" spans="1:8" ht="15" hidden="1">
      <c r="A163" s="64"/>
      <c r="B163" s="64">
        <v>6171</v>
      </c>
      <c r="C163" s="64">
        <v>2111</v>
      </c>
      <c r="D163" s="64" t="s">
        <v>166</v>
      </c>
      <c r="E163" s="65"/>
      <c r="F163" s="66"/>
      <c r="G163" s="67"/>
      <c r="H163" s="65" t="e">
        <f t="shared" si="3"/>
        <v>#DIV/0!</v>
      </c>
    </row>
    <row r="164" spans="1:8" ht="15">
      <c r="A164" s="64"/>
      <c r="B164" s="64">
        <v>4379</v>
      </c>
      <c r="C164" s="64">
        <v>2212</v>
      </c>
      <c r="D164" s="64" t="s">
        <v>167</v>
      </c>
      <c r="E164" s="65">
        <v>10</v>
      </c>
      <c r="F164" s="66">
        <v>10</v>
      </c>
      <c r="G164" s="67">
        <v>2.5</v>
      </c>
      <c r="H164" s="65">
        <f t="shared" si="3"/>
        <v>25</v>
      </c>
    </row>
    <row r="165" spans="1:8" ht="15">
      <c r="A165" s="69"/>
      <c r="B165" s="69">
        <v>4399</v>
      </c>
      <c r="C165" s="69">
        <v>2324</v>
      </c>
      <c r="D165" s="69" t="s">
        <v>168</v>
      </c>
      <c r="E165" s="70">
        <v>0</v>
      </c>
      <c r="F165" s="71">
        <v>0</v>
      </c>
      <c r="G165" s="67">
        <v>5</v>
      </c>
      <c r="H165" s="65" t="e">
        <f t="shared" si="3"/>
        <v>#DIV/0!</v>
      </c>
    </row>
    <row r="166" spans="1:8" ht="15" hidden="1">
      <c r="A166" s="64"/>
      <c r="B166" s="64">
        <v>6171</v>
      </c>
      <c r="C166" s="64">
        <v>2212</v>
      </c>
      <c r="D166" s="64" t="s">
        <v>167</v>
      </c>
      <c r="E166" s="65"/>
      <c r="F166" s="66"/>
      <c r="G166" s="67"/>
      <c r="H166" s="65" t="e">
        <f t="shared" si="3"/>
        <v>#DIV/0!</v>
      </c>
    </row>
    <row r="167" spans="1:8" ht="15">
      <c r="A167" s="69"/>
      <c r="B167" s="64">
        <v>6171</v>
      </c>
      <c r="C167" s="64">
        <v>2324</v>
      </c>
      <c r="D167" s="64" t="s">
        <v>72</v>
      </c>
      <c r="E167" s="65">
        <v>8</v>
      </c>
      <c r="F167" s="66">
        <v>8</v>
      </c>
      <c r="G167" s="67">
        <v>1</v>
      </c>
      <c r="H167" s="65">
        <f t="shared" si="3"/>
        <v>12.5</v>
      </c>
    </row>
    <row r="168" spans="1:8" ht="15" customHeight="1" thickBot="1">
      <c r="A168" s="121"/>
      <c r="B168" s="121"/>
      <c r="C168" s="121"/>
      <c r="D168" s="121"/>
      <c r="E168" s="122"/>
      <c r="F168" s="123"/>
      <c r="G168" s="124"/>
      <c r="H168" s="65"/>
    </row>
    <row r="169" spans="1:8" s="84" customFormat="1" ht="21.75" customHeight="1" thickBot="1" thickTop="1">
      <c r="A169" s="126"/>
      <c r="B169" s="126"/>
      <c r="C169" s="126"/>
      <c r="D169" s="127" t="s">
        <v>169</v>
      </c>
      <c r="E169" s="128">
        <f>SUM(E149:E168)</f>
        <v>4021</v>
      </c>
      <c r="F169" s="129">
        <f>SUM(F149:F168)</f>
        <v>4021</v>
      </c>
      <c r="G169" s="130">
        <f>SUM(G149:G168)</f>
        <v>4023</v>
      </c>
      <c r="H169" s="81">
        <f>(G169/F169)*100</f>
        <v>100.04973887092763</v>
      </c>
    </row>
    <row r="170" spans="1:8" ht="15" customHeight="1">
      <c r="A170" s="103"/>
      <c r="B170" s="84"/>
      <c r="C170" s="103"/>
      <c r="D170" s="131"/>
      <c r="E170" s="104"/>
      <c r="F170" s="104"/>
      <c r="G170" s="43"/>
      <c r="H170" s="43"/>
    </row>
    <row r="171" spans="1:8" ht="14.25" customHeight="1">
      <c r="A171" s="84"/>
      <c r="B171" s="84"/>
      <c r="C171" s="84"/>
      <c r="D171" s="84"/>
      <c r="E171" s="85"/>
      <c r="F171" s="85"/>
      <c r="G171" s="85"/>
      <c r="H171" s="85"/>
    </row>
    <row r="172" spans="1:8" ht="14.25" customHeight="1" thickBot="1">
      <c r="A172" s="84"/>
      <c r="B172" s="84"/>
      <c r="C172" s="84"/>
      <c r="D172" s="84"/>
      <c r="E172" s="85"/>
      <c r="F172" s="85"/>
      <c r="G172" s="85"/>
      <c r="H172" s="85"/>
    </row>
    <row r="173" spans="1:8" ht="13.5" customHeight="1" hidden="1">
      <c r="A173" s="84"/>
      <c r="B173" s="84"/>
      <c r="C173" s="84"/>
      <c r="D173" s="84"/>
      <c r="E173" s="85"/>
      <c r="F173" s="85"/>
      <c r="G173" s="85"/>
      <c r="H173" s="85"/>
    </row>
    <row r="174" spans="1:8" ht="13.5" customHeight="1" hidden="1">
      <c r="A174" s="84"/>
      <c r="B174" s="84"/>
      <c r="C174" s="84"/>
      <c r="D174" s="84"/>
      <c r="E174" s="85"/>
      <c r="F174" s="85"/>
      <c r="G174" s="85"/>
      <c r="H174" s="85"/>
    </row>
    <row r="175" spans="1:8" ht="13.5" customHeight="1" hidden="1" thickBot="1">
      <c r="A175" s="84"/>
      <c r="B175" s="84"/>
      <c r="C175" s="84"/>
      <c r="D175" s="84"/>
      <c r="E175" s="85"/>
      <c r="F175" s="85"/>
      <c r="G175" s="85"/>
      <c r="H175" s="85"/>
    </row>
    <row r="176" spans="1:8" ht="15.75">
      <c r="A176" s="52" t="s">
        <v>27</v>
      </c>
      <c r="B176" s="52" t="s">
        <v>28</v>
      </c>
      <c r="C176" s="52" t="s">
        <v>29</v>
      </c>
      <c r="D176" s="53" t="s">
        <v>30</v>
      </c>
      <c r="E176" s="54" t="s">
        <v>31</v>
      </c>
      <c r="F176" s="54" t="s">
        <v>31</v>
      </c>
      <c r="G176" s="54" t="s">
        <v>8</v>
      </c>
      <c r="H176" s="54" t="s">
        <v>32</v>
      </c>
    </row>
    <row r="177" spans="1:8" ht="15.75" customHeight="1" thickBot="1">
      <c r="A177" s="55"/>
      <c r="B177" s="55"/>
      <c r="C177" s="55"/>
      <c r="D177" s="56"/>
      <c r="E177" s="57" t="s">
        <v>33</v>
      </c>
      <c r="F177" s="57" t="s">
        <v>34</v>
      </c>
      <c r="G177" s="58" t="s">
        <v>35</v>
      </c>
      <c r="H177" s="57" t="s">
        <v>36</v>
      </c>
    </row>
    <row r="178" spans="1:8" ht="15.75" customHeight="1" thickTop="1">
      <c r="A178" s="59">
        <v>60</v>
      </c>
      <c r="B178" s="59"/>
      <c r="C178" s="59"/>
      <c r="D178" s="60" t="s">
        <v>170</v>
      </c>
      <c r="E178" s="61"/>
      <c r="F178" s="62"/>
      <c r="G178" s="63"/>
      <c r="H178" s="61"/>
    </row>
    <row r="179" spans="1:8" ht="14.25" customHeight="1">
      <c r="A179" s="109"/>
      <c r="B179" s="109"/>
      <c r="C179" s="109"/>
      <c r="D179" s="109"/>
      <c r="E179" s="65"/>
      <c r="F179" s="66"/>
      <c r="G179" s="67"/>
      <c r="H179" s="65"/>
    </row>
    <row r="180" spans="1:8" ht="15" hidden="1">
      <c r="A180" s="64"/>
      <c r="B180" s="64"/>
      <c r="C180" s="64">
        <v>1332</v>
      </c>
      <c r="D180" s="64" t="s">
        <v>171</v>
      </c>
      <c r="E180" s="65"/>
      <c r="F180" s="66"/>
      <c r="G180" s="67"/>
      <c r="H180" s="65" t="e">
        <f>(#REF!/F180)*100</f>
        <v>#REF!</v>
      </c>
    </row>
    <row r="181" spans="1:8" ht="15">
      <c r="A181" s="64"/>
      <c r="B181" s="64"/>
      <c r="C181" s="64">
        <v>1333</v>
      </c>
      <c r="D181" s="64" t="s">
        <v>172</v>
      </c>
      <c r="E181" s="65">
        <v>500</v>
      </c>
      <c r="F181" s="66">
        <v>500</v>
      </c>
      <c r="G181" s="67">
        <v>191.6</v>
      </c>
      <c r="H181" s="65">
        <f aca="true" t="shared" si="4" ref="H181:H192">(G181/F181)*100</f>
        <v>38.32</v>
      </c>
    </row>
    <row r="182" spans="1:8" ht="15">
      <c r="A182" s="64"/>
      <c r="B182" s="64"/>
      <c r="C182" s="64">
        <v>1334</v>
      </c>
      <c r="D182" s="64" t="s">
        <v>173</v>
      </c>
      <c r="E182" s="65">
        <v>50</v>
      </c>
      <c r="F182" s="66">
        <v>50</v>
      </c>
      <c r="G182" s="67">
        <v>29.4</v>
      </c>
      <c r="H182" s="65">
        <f t="shared" si="4"/>
        <v>58.8</v>
      </c>
    </row>
    <row r="183" spans="1:8" ht="15">
      <c r="A183" s="64"/>
      <c r="B183" s="64"/>
      <c r="C183" s="64">
        <v>1335</v>
      </c>
      <c r="D183" s="64" t="s">
        <v>174</v>
      </c>
      <c r="E183" s="65">
        <v>6</v>
      </c>
      <c r="F183" s="66">
        <v>6</v>
      </c>
      <c r="G183" s="67">
        <v>13</v>
      </c>
      <c r="H183" s="65">
        <f t="shared" si="4"/>
        <v>216.66666666666666</v>
      </c>
    </row>
    <row r="184" spans="1:8" ht="15">
      <c r="A184" s="64"/>
      <c r="B184" s="64"/>
      <c r="C184" s="64">
        <v>1361</v>
      </c>
      <c r="D184" s="64" t="s">
        <v>39</v>
      </c>
      <c r="E184" s="65">
        <v>240</v>
      </c>
      <c r="F184" s="66">
        <v>240</v>
      </c>
      <c r="G184" s="67">
        <v>148.7</v>
      </c>
      <c r="H184" s="65">
        <f t="shared" si="4"/>
        <v>61.95833333333333</v>
      </c>
    </row>
    <row r="185" spans="1:8" ht="15" customHeight="1" hidden="1">
      <c r="A185" s="64">
        <v>29004</v>
      </c>
      <c r="B185" s="64"/>
      <c r="C185" s="64">
        <v>4116</v>
      </c>
      <c r="D185" s="64" t="s">
        <v>175</v>
      </c>
      <c r="E185" s="65"/>
      <c r="F185" s="66"/>
      <c r="G185" s="67"/>
      <c r="H185" s="65" t="e">
        <f t="shared" si="4"/>
        <v>#DIV/0!</v>
      </c>
    </row>
    <row r="186" spans="1:8" ht="15" hidden="1">
      <c r="A186" s="64">
        <v>29008</v>
      </c>
      <c r="B186" s="64"/>
      <c r="C186" s="64">
        <v>4116</v>
      </c>
      <c r="D186" s="64" t="s">
        <v>176</v>
      </c>
      <c r="E186" s="65"/>
      <c r="F186" s="66"/>
      <c r="G186" s="67"/>
      <c r="H186" s="65" t="e">
        <f t="shared" si="4"/>
        <v>#DIV/0!</v>
      </c>
    </row>
    <row r="187" spans="1:8" ht="15" hidden="1">
      <c r="A187" s="64">
        <v>29516</v>
      </c>
      <c r="B187" s="64"/>
      <c r="C187" s="64">
        <v>4216</v>
      </c>
      <c r="D187" s="64" t="s">
        <v>177</v>
      </c>
      <c r="E187" s="65"/>
      <c r="F187" s="66"/>
      <c r="G187" s="67"/>
      <c r="H187" s="65" t="e">
        <f t="shared" si="4"/>
        <v>#DIV/0!</v>
      </c>
    </row>
    <row r="188" spans="1:8" ht="15">
      <c r="A188" s="69"/>
      <c r="B188" s="69">
        <v>1014</v>
      </c>
      <c r="C188" s="69">
        <v>2132</v>
      </c>
      <c r="D188" s="69" t="s">
        <v>178</v>
      </c>
      <c r="E188" s="70">
        <v>24</v>
      </c>
      <c r="F188" s="71">
        <v>24</v>
      </c>
      <c r="G188" s="72">
        <v>8.3</v>
      </c>
      <c r="H188" s="65">
        <f t="shared" si="4"/>
        <v>34.583333333333336</v>
      </c>
    </row>
    <row r="189" spans="1:8" ht="15">
      <c r="A189" s="69"/>
      <c r="B189" s="69">
        <v>2119</v>
      </c>
      <c r="C189" s="69">
        <v>2343</v>
      </c>
      <c r="D189" s="69" t="s">
        <v>179</v>
      </c>
      <c r="E189" s="70">
        <v>12000</v>
      </c>
      <c r="F189" s="71">
        <v>12000</v>
      </c>
      <c r="G189" s="72">
        <v>3871.5</v>
      </c>
      <c r="H189" s="65">
        <f t="shared" si="4"/>
        <v>32.2625</v>
      </c>
    </row>
    <row r="190" spans="1:8" ht="15">
      <c r="A190" s="69"/>
      <c r="B190" s="69">
        <v>3749</v>
      </c>
      <c r="C190" s="69">
        <v>2321</v>
      </c>
      <c r="D190" s="69" t="s">
        <v>180</v>
      </c>
      <c r="E190" s="70">
        <v>5</v>
      </c>
      <c r="F190" s="71">
        <v>5</v>
      </c>
      <c r="G190" s="72">
        <v>0</v>
      </c>
      <c r="H190" s="65">
        <f t="shared" si="4"/>
        <v>0</v>
      </c>
    </row>
    <row r="191" spans="1:8" ht="15">
      <c r="A191" s="64"/>
      <c r="B191" s="64">
        <v>6171</v>
      </c>
      <c r="C191" s="64">
        <v>2212</v>
      </c>
      <c r="D191" s="64" t="s">
        <v>144</v>
      </c>
      <c r="E191" s="65">
        <v>60</v>
      </c>
      <c r="F191" s="66">
        <v>60</v>
      </c>
      <c r="G191" s="67">
        <v>33.4</v>
      </c>
      <c r="H191" s="65">
        <f t="shared" si="4"/>
        <v>55.666666666666664</v>
      </c>
    </row>
    <row r="192" spans="1:8" ht="15">
      <c r="A192" s="64"/>
      <c r="B192" s="64">
        <v>6171</v>
      </c>
      <c r="C192" s="64">
        <v>2324</v>
      </c>
      <c r="D192" s="64" t="s">
        <v>181</v>
      </c>
      <c r="E192" s="65">
        <v>5</v>
      </c>
      <c r="F192" s="66">
        <v>5</v>
      </c>
      <c r="G192" s="67">
        <v>7</v>
      </c>
      <c r="H192" s="65">
        <f t="shared" si="4"/>
        <v>140</v>
      </c>
    </row>
    <row r="193" spans="1:8" ht="15" hidden="1">
      <c r="A193" s="64"/>
      <c r="B193" s="64">
        <v>6171</v>
      </c>
      <c r="C193" s="64">
        <v>2329</v>
      </c>
      <c r="D193" s="64" t="s">
        <v>182</v>
      </c>
      <c r="E193" s="65"/>
      <c r="F193" s="66"/>
      <c r="G193" s="67"/>
      <c r="H193" s="65"/>
    </row>
    <row r="194" spans="1:8" ht="15" customHeight="1" thickBot="1">
      <c r="A194" s="121"/>
      <c r="B194" s="121"/>
      <c r="C194" s="121"/>
      <c r="D194" s="121"/>
      <c r="E194" s="122"/>
      <c r="F194" s="123"/>
      <c r="G194" s="124"/>
      <c r="H194" s="122"/>
    </row>
    <row r="195" spans="1:8" s="84" customFormat="1" ht="21.75" customHeight="1" thickBot="1" thickTop="1">
      <c r="A195" s="126"/>
      <c r="B195" s="126"/>
      <c r="C195" s="126"/>
      <c r="D195" s="127" t="s">
        <v>183</v>
      </c>
      <c r="E195" s="128">
        <f>SUM(E179:E194)</f>
        <v>12890</v>
      </c>
      <c r="F195" s="129">
        <f>SUM(F179:F194)</f>
        <v>12890</v>
      </c>
      <c r="G195" s="130">
        <f>SUM(G179:G194)</f>
        <v>4302.9</v>
      </c>
      <c r="H195" s="81">
        <f>(G195/F195)*100</f>
        <v>33.381691233514346</v>
      </c>
    </row>
    <row r="196" spans="1:8" ht="14.25" customHeight="1">
      <c r="A196" s="103"/>
      <c r="B196" s="103"/>
      <c r="C196" s="103"/>
      <c r="D196" s="47"/>
      <c r="E196" s="104"/>
      <c r="F196" s="104"/>
      <c r="G196" s="104"/>
      <c r="H196" s="104"/>
    </row>
    <row r="197" spans="1:8" ht="14.25" customHeight="1" hidden="1">
      <c r="A197" s="103"/>
      <c r="B197" s="103"/>
      <c r="C197" s="103"/>
      <c r="D197" s="47"/>
      <c r="E197" s="104"/>
      <c r="F197" s="104"/>
      <c r="G197" s="104"/>
      <c r="H197" s="104"/>
    </row>
    <row r="198" spans="1:8" ht="14.25" customHeight="1" hidden="1">
      <c r="A198" s="103"/>
      <c r="B198" s="103"/>
      <c r="C198" s="103"/>
      <c r="D198" s="47"/>
      <c r="E198" s="104"/>
      <c r="F198" s="104"/>
      <c r="G198" s="104"/>
      <c r="H198" s="104"/>
    </row>
    <row r="199" spans="1:8" ht="14.25" customHeight="1" hidden="1">
      <c r="A199" s="103"/>
      <c r="B199" s="103"/>
      <c r="C199" s="103"/>
      <c r="D199" s="47"/>
      <c r="E199" s="104"/>
      <c r="F199" s="104"/>
      <c r="G199" s="104"/>
      <c r="H199" s="104"/>
    </row>
    <row r="200" spans="1:8" ht="15" customHeight="1">
      <c r="A200" s="103"/>
      <c r="B200" s="103"/>
      <c r="C200" s="103"/>
      <c r="D200" s="47"/>
      <c r="E200" s="104"/>
      <c r="F200" s="104"/>
      <c r="G200" s="104"/>
      <c r="H200" s="104"/>
    </row>
    <row r="201" spans="1:8" ht="15" customHeight="1" thickBot="1">
      <c r="A201" s="103"/>
      <c r="B201" s="103"/>
      <c r="C201" s="103"/>
      <c r="D201" s="47"/>
      <c r="E201" s="104"/>
      <c r="F201" s="104"/>
      <c r="G201" s="104"/>
      <c r="H201" s="104"/>
    </row>
    <row r="202" spans="1:8" ht="15.75">
      <c r="A202" s="52" t="s">
        <v>27</v>
      </c>
      <c r="B202" s="52" t="s">
        <v>28</v>
      </c>
      <c r="C202" s="52" t="s">
        <v>29</v>
      </c>
      <c r="D202" s="53" t="s">
        <v>30</v>
      </c>
      <c r="E202" s="54" t="s">
        <v>31</v>
      </c>
      <c r="F202" s="54" t="s">
        <v>31</v>
      </c>
      <c r="G202" s="54" t="s">
        <v>8</v>
      </c>
      <c r="H202" s="54" t="s">
        <v>32</v>
      </c>
    </row>
    <row r="203" spans="1:8" ht="15.75" customHeight="1" thickBot="1">
      <c r="A203" s="55"/>
      <c r="B203" s="55"/>
      <c r="C203" s="55"/>
      <c r="D203" s="56"/>
      <c r="E203" s="57" t="s">
        <v>33</v>
      </c>
      <c r="F203" s="57" t="s">
        <v>34</v>
      </c>
      <c r="G203" s="58" t="s">
        <v>35</v>
      </c>
      <c r="H203" s="57" t="s">
        <v>36</v>
      </c>
    </row>
    <row r="204" spans="1:8" ht="15.75" customHeight="1" thickTop="1">
      <c r="A204" s="59">
        <v>80</v>
      </c>
      <c r="B204" s="59"/>
      <c r="C204" s="59"/>
      <c r="D204" s="60" t="s">
        <v>184</v>
      </c>
      <c r="E204" s="61"/>
      <c r="F204" s="62"/>
      <c r="G204" s="63"/>
      <c r="H204" s="61"/>
    </row>
    <row r="205" spans="1:8" ht="15">
      <c r="A205" s="64"/>
      <c r="B205" s="64"/>
      <c r="C205" s="64"/>
      <c r="D205" s="64"/>
      <c r="E205" s="65"/>
      <c r="F205" s="66"/>
      <c r="G205" s="67"/>
      <c r="H205" s="65"/>
    </row>
    <row r="206" spans="1:8" ht="15">
      <c r="A206" s="64"/>
      <c r="B206" s="64"/>
      <c r="C206" s="64">
        <v>1353</v>
      </c>
      <c r="D206" s="64" t="s">
        <v>185</v>
      </c>
      <c r="E206" s="65">
        <v>750</v>
      </c>
      <c r="F206" s="66">
        <v>750</v>
      </c>
      <c r="G206" s="67">
        <v>228.4</v>
      </c>
      <c r="H206" s="65">
        <f aca="true" t="shared" si="5" ref="H206:H216">(G206/F206)*100</f>
        <v>30.453333333333333</v>
      </c>
    </row>
    <row r="207" spans="1:8" ht="15">
      <c r="A207" s="64"/>
      <c r="B207" s="64"/>
      <c r="C207" s="64">
        <v>1359</v>
      </c>
      <c r="D207" s="64" t="s">
        <v>186</v>
      </c>
      <c r="E207" s="65">
        <v>0</v>
      </c>
      <c r="F207" s="66">
        <v>0</v>
      </c>
      <c r="G207" s="67">
        <v>258</v>
      </c>
      <c r="H207" s="65" t="e">
        <f t="shared" si="5"/>
        <v>#DIV/0!</v>
      </c>
    </row>
    <row r="208" spans="1:8" ht="15">
      <c r="A208" s="64"/>
      <c r="B208" s="64"/>
      <c r="C208" s="64">
        <v>1361</v>
      </c>
      <c r="D208" s="64" t="s">
        <v>39</v>
      </c>
      <c r="E208" s="65">
        <v>7000</v>
      </c>
      <c r="F208" s="66">
        <v>7000</v>
      </c>
      <c r="G208" s="67">
        <v>2359.9</v>
      </c>
      <c r="H208" s="65">
        <f t="shared" si="5"/>
        <v>33.712857142857146</v>
      </c>
    </row>
    <row r="209" spans="1:8" ht="15">
      <c r="A209" s="64"/>
      <c r="B209" s="64"/>
      <c r="C209" s="64">
        <v>4121</v>
      </c>
      <c r="D209" s="64" t="s">
        <v>187</v>
      </c>
      <c r="E209" s="70">
        <v>250</v>
      </c>
      <c r="F209" s="71">
        <v>250</v>
      </c>
      <c r="G209" s="67">
        <v>68</v>
      </c>
      <c r="H209" s="65">
        <f t="shared" si="5"/>
        <v>27.200000000000003</v>
      </c>
    </row>
    <row r="210" spans="1:8" ht="15" hidden="1">
      <c r="A210" s="64">
        <v>222</v>
      </c>
      <c r="B210" s="64"/>
      <c r="C210" s="64">
        <v>4122</v>
      </c>
      <c r="D210" s="64" t="s">
        <v>188</v>
      </c>
      <c r="E210" s="70"/>
      <c r="F210" s="71"/>
      <c r="G210" s="67"/>
      <c r="H210" s="65" t="e">
        <f t="shared" si="5"/>
        <v>#DIV/0!</v>
      </c>
    </row>
    <row r="211" spans="1:8" ht="15" hidden="1">
      <c r="A211" s="64"/>
      <c r="B211" s="64">
        <v>2169</v>
      </c>
      <c r="C211" s="64">
        <v>2212</v>
      </c>
      <c r="D211" s="64" t="s">
        <v>189</v>
      </c>
      <c r="E211" s="70"/>
      <c r="F211" s="71"/>
      <c r="G211" s="67"/>
      <c r="H211" s="65" t="e">
        <f t="shared" si="5"/>
        <v>#DIV/0!</v>
      </c>
    </row>
    <row r="212" spans="1:8" ht="15" hidden="1">
      <c r="A212" s="64"/>
      <c r="B212" s="64">
        <v>2219</v>
      </c>
      <c r="C212" s="64">
        <v>2324</v>
      </c>
      <c r="D212" s="64" t="s">
        <v>190</v>
      </c>
      <c r="E212" s="65"/>
      <c r="F212" s="66"/>
      <c r="G212" s="67"/>
      <c r="H212" s="65" t="e">
        <f t="shared" si="5"/>
        <v>#DIV/0!</v>
      </c>
    </row>
    <row r="213" spans="1:8" ht="15">
      <c r="A213" s="64"/>
      <c r="B213" s="64">
        <v>2219</v>
      </c>
      <c r="C213" s="64">
        <v>2329</v>
      </c>
      <c r="D213" s="64" t="s">
        <v>191</v>
      </c>
      <c r="E213" s="65">
        <v>4800</v>
      </c>
      <c r="F213" s="66">
        <v>4800</v>
      </c>
      <c r="G213" s="67">
        <v>1731</v>
      </c>
      <c r="H213" s="65">
        <f t="shared" si="5"/>
        <v>36.0625</v>
      </c>
    </row>
    <row r="214" spans="1:8" ht="15">
      <c r="A214" s="64"/>
      <c r="B214" s="64">
        <v>2299</v>
      </c>
      <c r="C214" s="64">
        <v>2212</v>
      </c>
      <c r="D214" s="64" t="s">
        <v>192</v>
      </c>
      <c r="E214" s="65">
        <v>0</v>
      </c>
      <c r="F214" s="66">
        <v>0</v>
      </c>
      <c r="G214" s="67">
        <v>1076</v>
      </c>
      <c r="H214" s="65" t="e">
        <f t="shared" si="5"/>
        <v>#DIV/0!</v>
      </c>
    </row>
    <row r="215" spans="1:8" ht="15">
      <c r="A215" s="64"/>
      <c r="B215" s="64">
        <v>6171</v>
      </c>
      <c r="C215" s="64">
        <v>2212</v>
      </c>
      <c r="D215" s="64" t="s">
        <v>193</v>
      </c>
      <c r="E215" s="65">
        <v>2200</v>
      </c>
      <c r="F215" s="66">
        <v>2200</v>
      </c>
      <c r="G215" s="67">
        <v>0</v>
      </c>
      <c r="H215" s="65">
        <f t="shared" si="5"/>
        <v>0</v>
      </c>
    </row>
    <row r="216" spans="1:8" ht="15">
      <c r="A216" s="69"/>
      <c r="B216" s="69">
        <v>6171</v>
      </c>
      <c r="C216" s="69">
        <v>2324</v>
      </c>
      <c r="D216" s="69" t="s">
        <v>190</v>
      </c>
      <c r="E216" s="70">
        <v>200</v>
      </c>
      <c r="F216" s="71">
        <v>200</v>
      </c>
      <c r="G216" s="72">
        <v>135.8</v>
      </c>
      <c r="H216" s="65">
        <f t="shared" si="5"/>
        <v>67.9</v>
      </c>
    </row>
    <row r="217" spans="1:8" ht="15" hidden="1">
      <c r="A217" s="69"/>
      <c r="B217" s="69">
        <v>6171</v>
      </c>
      <c r="C217" s="69">
        <v>2329</v>
      </c>
      <c r="D217" s="69" t="s">
        <v>194</v>
      </c>
      <c r="E217" s="73"/>
      <c r="F217" s="74"/>
      <c r="G217" s="72"/>
      <c r="H217" s="65" t="e">
        <f>(#REF!/F217)*100</f>
        <v>#REF!</v>
      </c>
    </row>
    <row r="218" spans="1:8" ht="15.75" thickBot="1">
      <c r="A218" s="121"/>
      <c r="B218" s="121"/>
      <c r="C218" s="121"/>
      <c r="D218" s="121"/>
      <c r="E218" s="122"/>
      <c r="F218" s="123"/>
      <c r="G218" s="124"/>
      <c r="H218" s="122"/>
    </row>
    <row r="219" spans="1:8" s="84" customFormat="1" ht="21.75" customHeight="1" thickBot="1" thickTop="1">
      <c r="A219" s="126"/>
      <c r="B219" s="126"/>
      <c r="C219" s="126"/>
      <c r="D219" s="127" t="s">
        <v>195</v>
      </c>
      <c r="E219" s="128">
        <f>SUM(E205:E218)</f>
        <v>15200</v>
      </c>
      <c r="F219" s="129">
        <f>SUM(F205:F218)</f>
        <v>15200</v>
      </c>
      <c r="G219" s="130">
        <f>SUM(G205:G218)</f>
        <v>5857.1</v>
      </c>
      <c r="H219" s="81">
        <f>(G219/F219)*100</f>
        <v>38.53355263157895</v>
      </c>
    </row>
    <row r="220" spans="1:8" ht="15" customHeight="1">
      <c r="A220" s="103"/>
      <c r="B220" s="103"/>
      <c r="C220" s="103"/>
      <c r="D220" s="47"/>
      <c r="E220" s="104"/>
      <c r="F220" s="104"/>
      <c r="G220" s="104"/>
      <c r="H220" s="104"/>
    </row>
    <row r="221" spans="1:8" ht="15" customHeight="1" hidden="1">
      <c r="A221" s="103"/>
      <c r="B221" s="103"/>
      <c r="C221" s="103"/>
      <c r="D221" s="47"/>
      <c r="E221" s="104"/>
      <c r="F221" s="104"/>
      <c r="G221" s="104"/>
      <c r="H221" s="104"/>
    </row>
    <row r="222" spans="1:8" ht="15" customHeight="1">
      <c r="A222" s="103"/>
      <c r="B222" s="103"/>
      <c r="C222" s="103"/>
      <c r="D222" s="47"/>
      <c r="E222" s="104"/>
      <c r="F222" s="104"/>
      <c r="G222" s="104"/>
      <c r="H222" s="104"/>
    </row>
    <row r="223" spans="1:8" ht="15" customHeight="1" thickBot="1">
      <c r="A223" s="103"/>
      <c r="B223" s="103"/>
      <c r="C223" s="103"/>
      <c r="D223" s="47"/>
      <c r="E223" s="104"/>
      <c r="F223" s="104"/>
      <c r="G223" s="104"/>
      <c r="H223" s="104"/>
    </row>
    <row r="224" spans="1:8" ht="15.75">
      <c r="A224" s="52" t="s">
        <v>27</v>
      </c>
      <c r="B224" s="52" t="s">
        <v>28</v>
      </c>
      <c r="C224" s="52" t="s">
        <v>29</v>
      </c>
      <c r="D224" s="53" t="s">
        <v>30</v>
      </c>
      <c r="E224" s="54" t="s">
        <v>31</v>
      </c>
      <c r="F224" s="54" t="s">
        <v>31</v>
      </c>
      <c r="G224" s="54" t="s">
        <v>8</v>
      </c>
      <c r="H224" s="54" t="s">
        <v>32</v>
      </c>
    </row>
    <row r="225" spans="1:8" ht="15.75" customHeight="1" thickBot="1">
      <c r="A225" s="55"/>
      <c r="B225" s="55"/>
      <c r="C225" s="55"/>
      <c r="D225" s="56"/>
      <c r="E225" s="57" t="s">
        <v>33</v>
      </c>
      <c r="F225" s="57" t="s">
        <v>34</v>
      </c>
      <c r="G225" s="58" t="s">
        <v>35</v>
      </c>
      <c r="H225" s="57" t="s">
        <v>36</v>
      </c>
    </row>
    <row r="226" spans="1:8" ht="16.5" customHeight="1" thickTop="1">
      <c r="A226" s="59">
        <v>90</v>
      </c>
      <c r="B226" s="59"/>
      <c r="C226" s="59"/>
      <c r="D226" s="60" t="s">
        <v>196</v>
      </c>
      <c r="E226" s="61"/>
      <c r="F226" s="62"/>
      <c r="G226" s="63"/>
      <c r="H226" s="61"/>
    </row>
    <row r="227" spans="1:8" ht="15.75">
      <c r="A227" s="59"/>
      <c r="B227" s="59"/>
      <c r="C227" s="59"/>
      <c r="D227" s="60"/>
      <c r="E227" s="61"/>
      <c r="F227" s="62"/>
      <c r="G227" s="63"/>
      <c r="H227" s="61"/>
    </row>
    <row r="228" spans="1:8" ht="15">
      <c r="A228" s="75"/>
      <c r="B228" s="75"/>
      <c r="C228" s="75">
        <v>4121</v>
      </c>
      <c r="D228" s="75" t="s">
        <v>197</v>
      </c>
      <c r="E228" s="132">
        <v>300</v>
      </c>
      <c r="F228" s="133">
        <v>300</v>
      </c>
      <c r="G228" s="134">
        <v>150</v>
      </c>
      <c r="H228" s="65">
        <f aca="true" t="shared" si="6" ref="H228:H235">(G228/F228)*100</f>
        <v>50</v>
      </c>
    </row>
    <row r="229" spans="1:8" ht="15">
      <c r="A229" s="64"/>
      <c r="B229" s="64">
        <v>5311</v>
      </c>
      <c r="C229" s="64">
        <v>2111</v>
      </c>
      <c r="D229" s="64" t="s">
        <v>67</v>
      </c>
      <c r="E229" s="135">
        <v>650</v>
      </c>
      <c r="F229" s="136">
        <v>650</v>
      </c>
      <c r="G229" s="137">
        <v>182</v>
      </c>
      <c r="H229" s="65">
        <f t="shared" si="6"/>
        <v>28.000000000000004</v>
      </c>
    </row>
    <row r="230" spans="1:8" ht="15">
      <c r="A230" s="64"/>
      <c r="B230" s="64">
        <v>5311</v>
      </c>
      <c r="C230" s="64">
        <v>2212</v>
      </c>
      <c r="D230" s="64" t="s">
        <v>198</v>
      </c>
      <c r="E230" s="138">
        <v>1850</v>
      </c>
      <c r="F230" s="139">
        <v>1850</v>
      </c>
      <c r="G230" s="140">
        <v>280.5</v>
      </c>
      <c r="H230" s="65">
        <f t="shared" si="6"/>
        <v>15.162162162162163</v>
      </c>
    </row>
    <row r="231" spans="1:8" ht="15" hidden="1">
      <c r="A231" s="69"/>
      <c r="B231" s="69">
        <v>5311</v>
      </c>
      <c r="C231" s="69">
        <v>2310</v>
      </c>
      <c r="D231" s="69" t="s">
        <v>199</v>
      </c>
      <c r="E231" s="70"/>
      <c r="F231" s="71"/>
      <c r="G231" s="72"/>
      <c r="H231" s="65" t="e">
        <f t="shared" si="6"/>
        <v>#DIV/0!</v>
      </c>
    </row>
    <row r="232" spans="1:8" ht="15">
      <c r="A232" s="69"/>
      <c r="B232" s="69">
        <v>5311</v>
      </c>
      <c r="C232" s="69">
        <v>2322</v>
      </c>
      <c r="D232" s="69" t="s">
        <v>200</v>
      </c>
      <c r="E232" s="70">
        <v>0</v>
      </c>
      <c r="F232" s="71">
        <v>0</v>
      </c>
      <c r="G232" s="72">
        <v>0.7</v>
      </c>
      <c r="H232" s="65" t="e">
        <f t="shared" si="6"/>
        <v>#DIV/0!</v>
      </c>
    </row>
    <row r="233" spans="1:8" ht="15">
      <c r="A233" s="64"/>
      <c r="B233" s="64">
        <v>5311</v>
      </c>
      <c r="C233" s="64">
        <v>2324</v>
      </c>
      <c r="D233" s="64" t="s">
        <v>201</v>
      </c>
      <c r="E233" s="65">
        <v>0</v>
      </c>
      <c r="F233" s="66">
        <v>0</v>
      </c>
      <c r="G233" s="67">
        <v>120.9</v>
      </c>
      <c r="H233" s="65" t="e">
        <f t="shared" si="6"/>
        <v>#DIV/0!</v>
      </c>
    </row>
    <row r="234" spans="1:8" ht="15">
      <c r="A234" s="69"/>
      <c r="B234" s="69">
        <v>5311</v>
      </c>
      <c r="C234" s="69">
        <v>2329</v>
      </c>
      <c r="D234" s="69" t="s">
        <v>182</v>
      </c>
      <c r="E234" s="70">
        <v>0</v>
      </c>
      <c r="F234" s="71">
        <v>0</v>
      </c>
      <c r="G234" s="72">
        <v>0.5</v>
      </c>
      <c r="H234" s="65" t="e">
        <f t="shared" si="6"/>
        <v>#DIV/0!</v>
      </c>
    </row>
    <row r="235" spans="1:8" ht="15">
      <c r="A235" s="69"/>
      <c r="B235" s="69">
        <v>5311</v>
      </c>
      <c r="C235" s="69">
        <v>3113</v>
      </c>
      <c r="D235" s="69" t="s">
        <v>199</v>
      </c>
      <c r="E235" s="70">
        <v>0</v>
      </c>
      <c r="F235" s="71">
        <v>0</v>
      </c>
      <c r="G235" s="72">
        <v>20</v>
      </c>
      <c r="H235" s="65" t="e">
        <f t="shared" si="6"/>
        <v>#DIV/0!</v>
      </c>
    </row>
    <row r="236" spans="1:8" ht="15" hidden="1">
      <c r="A236" s="69"/>
      <c r="B236" s="69">
        <v>6409</v>
      </c>
      <c r="C236" s="69">
        <v>2328</v>
      </c>
      <c r="D236" s="69" t="s">
        <v>202</v>
      </c>
      <c r="E236" s="70">
        <v>0</v>
      </c>
      <c r="F236" s="71">
        <v>0</v>
      </c>
      <c r="G236" s="72"/>
      <c r="H236" s="65" t="e">
        <f>(#REF!/F236)*100</f>
        <v>#REF!</v>
      </c>
    </row>
    <row r="237" spans="1:8" ht="15.75" thickBot="1">
      <c r="A237" s="121"/>
      <c r="B237" s="121"/>
      <c r="C237" s="121"/>
      <c r="D237" s="121"/>
      <c r="E237" s="122"/>
      <c r="F237" s="123"/>
      <c r="G237" s="124"/>
      <c r="H237" s="122"/>
    </row>
    <row r="238" spans="1:8" s="84" customFormat="1" ht="21.75" customHeight="1" thickBot="1" thickTop="1">
      <c r="A238" s="126"/>
      <c r="B238" s="126"/>
      <c r="C238" s="126"/>
      <c r="D238" s="127" t="s">
        <v>203</v>
      </c>
      <c r="E238" s="128">
        <f>SUM(E228:E237)</f>
        <v>2800</v>
      </c>
      <c r="F238" s="129">
        <f>SUM(F228:F237)</f>
        <v>2800</v>
      </c>
      <c r="G238" s="130">
        <f>SUM(G228:G237)</f>
        <v>754.6</v>
      </c>
      <c r="H238" s="81">
        <f>(G238/F238)*100</f>
        <v>26.950000000000003</v>
      </c>
    </row>
    <row r="239" spans="1:8" ht="15" customHeight="1">
      <c r="A239" s="103"/>
      <c r="B239" s="103"/>
      <c r="C239" s="103"/>
      <c r="D239" s="47"/>
      <c r="E239" s="104"/>
      <c r="F239" s="104"/>
      <c r="G239" s="104"/>
      <c r="H239" s="104"/>
    </row>
    <row r="240" spans="1:8" ht="15" customHeight="1" hidden="1">
      <c r="A240" s="103"/>
      <c r="B240" s="103"/>
      <c r="C240" s="103"/>
      <c r="D240" s="47"/>
      <c r="E240" s="104"/>
      <c r="F240" s="104"/>
      <c r="G240" s="104"/>
      <c r="H240" s="104"/>
    </row>
    <row r="241" spans="1:8" ht="15" customHeight="1" hidden="1">
      <c r="A241" s="103"/>
      <c r="B241" s="103"/>
      <c r="C241" s="103"/>
      <c r="D241" s="47"/>
      <c r="E241" s="104"/>
      <c r="F241" s="104"/>
      <c r="G241" s="104"/>
      <c r="H241" s="104"/>
    </row>
    <row r="242" spans="1:8" ht="15" customHeight="1" hidden="1">
      <c r="A242" s="103"/>
      <c r="B242" s="103"/>
      <c r="C242" s="103"/>
      <c r="D242" s="47"/>
      <c r="E242" s="104"/>
      <c r="F242" s="104"/>
      <c r="G242" s="104"/>
      <c r="H242" s="104"/>
    </row>
    <row r="243" spans="1:8" ht="15" customHeight="1" hidden="1">
      <c r="A243" s="103"/>
      <c r="B243" s="103"/>
      <c r="C243" s="103"/>
      <c r="D243" s="47"/>
      <c r="E243" s="104"/>
      <c r="F243" s="104"/>
      <c r="G243" s="104"/>
      <c r="H243" s="104"/>
    </row>
    <row r="244" spans="1:8" ht="15" customHeight="1" hidden="1">
      <c r="A244" s="103"/>
      <c r="B244" s="103"/>
      <c r="C244" s="103"/>
      <c r="D244" s="47"/>
      <c r="E244" s="104"/>
      <c r="F244" s="104"/>
      <c r="G244" s="104"/>
      <c r="H244" s="104"/>
    </row>
    <row r="245" spans="1:8" ht="15" customHeight="1" hidden="1">
      <c r="A245" s="103"/>
      <c r="B245" s="103"/>
      <c r="C245" s="103"/>
      <c r="D245" s="47"/>
      <c r="E245" s="104"/>
      <c r="F245" s="104"/>
      <c r="G245" s="104"/>
      <c r="H245" s="104"/>
    </row>
    <row r="246" spans="1:8" ht="15" customHeight="1">
      <c r="A246" s="103"/>
      <c r="B246" s="103"/>
      <c r="C246" s="103"/>
      <c r="D246" s="47"/>
      <c r="E246" s="104"/>
      <c r="F246" s="104"/>
      <c r="G246" s="43"/>
      <c r="H246" s="43"/>
    </row>
    <row r="247" spans="1:8" ht="15" customHeight="1" thickBot="1">
      <c r="A247" s="103"/>
      <c r="B247" s="103"/>
      <c r="C247" s="103"/>
      <c r="D247" s="47"/>
      <c r="E247" s="104"/>
      <c r="F247" s="104"/>
      <c r="G247" s="104"/>
      <c r="H247" s="104"/>
    </row>
    <row r="248" spans="1:8" ht="15.75">
      <c r="A248" s="52" t="s">
        <v>27</v>
      </c>
      <c r="B248" s="52" t="s">
        <v>28</v>
      </c>
      <c r="C248" s="52" t="s">
        <v>29</v>
      </c>
      <c r="D248" s="53" t="s">
        <v>30</v>
      </c>
      <c r="E248" s="54" t="s">
        <v>31</v>
      </c>
      <c r="F248" s="54" t="s">
        <v>31</v>
      </c>
      <c r="G248" s="54" t="s">
        <v>8</v>
      </c>
      <c r="H248" s="54" t="s">
        <v>32</v>
      </c>
    </row>
    <row r="249" spans="1:8" ht="15.75" customHeight="1" thickBot="1">
      <c r="A249" s="55"/>
      <c r="B249" s="55"/>
      <c r="C249" s="55"/>
      <c r="D249" s="56"/>
      <c r="E249" s="57" t="s">
        <v>33</v>
      </c>
      <c r="F249" s="57" t="s">
        <v>34</v>
      </c>
      <c r="G249" s="58" t="s">
        <v>35</v>
      </c>
      <c r="H249" s="57" t="s">
        <v>36</v>
      </c>
    </row>
    <row r="250" spans="1:8" ht="15.75" customHeight="1" thickTop="1">
      <c r="A250" s="59">
        <v>100</v>
      </c>
      <c r="B250" s="59"/>
      <c r="C250" s="59"/>
      <c r="D250" s="141" t="s">
        <v>204</v>
      </c>
      <c r="E250" s="61"/>
      <c r="F250" s="62"/>
      <c r="G250" s="63"/>
      <c r="H250" s="61"/>
    </row>
    <row r="251" spans="1:8" ht="15">
      <c r="A251" s="64"/>
      <c r="B251" s="64"/>
      <c r="C251" s="64"/>
      <c r="D251" s="64"/>
      <c r="E251" s="100"/>
      <c r="F251" s="66"/>
      <c r="G251" s="67"/>
      <c r="H251" s="100"/>
    </row>
    <row r="252" spans="1:8" ht="15">
      <c r="A252" s="64"/>
      <c r="B252" s="64"/>
      <c r="C252" s="64">
        <v>1361</v>
      </c>
      <c r="D252" s="64" t="s">
        <v>39</v>
      </c>
      <c r="E252" s="100">
        <v>1700</v>
      </c>
      <c r="F252" s="66">
        <v>1700</v>
      </c>
      <c r="G252" s="67">
        <v>614.2</v>
      </c>
      <c r="H252" s="65">
        <f>(G252/F252)*100</f>
        <v>36.129411764705885</v>
      </c>
    </row>
    <row r="253" spans="1:8" ht="15.75" hidden="1">
      <c r="A253" s="109"/>
      <c r="B253" s="109"/>
      <c r="C253" s="64">
        <v>4216</v>
      </c>
      <c r="D253" s="64" t="s">
        <v>205</v>
      </c>
      <c r="E253" s="65"/>
      <c r="F253" s="66"/>
      <c r="G253" s="67"/>
      <c r="H253" s="65" t="e">
        <f>(G253/F253)*100</f>
        <v>#DIV/0!</v>
      </c>
    </row>
    <row r="254" spans="1:8" ht="15">
      <c r="A254" s="64"/>
      <c r="B254" s="64">
        <v>2169</v>
      </c>
      <c r="C254" s="64">
        <v>2212</v>
      </c>
      <c r="D254" s="64" t="s">
        <v>198</v>
      </c>
      <c r="E254" s="100">
        <v>500</v>
      </c>
      <c r="F254" s="66">
        <v>500</v>
      </c>
      <c r="G254" s="67">
        <v>198</v>
      </c>
      <c r="H254" s="65">
        <f>(G254/F254)*100</f>
        <v>39.6</v>
      </c>
    </row>
    <row r="255" spans="1:8" ht="15" hidden="1">
      <c r="A255" s="69"/>
      <c r="B255" s="69">
        <v>3635</v>
      </c>
      <c r="C255" s="69">
        <v>3122</v>
      </c>
      <c r="D255" s="64" t="s">
        <v>206</v>
      </c>
      <c r="E255" s="100">
        <v>0</v>
      </c>
      <c r="F255" s="66">
        <v>0</v>
      </c>
      <c r="G255" s="67"/>
      <c r="H255" s="65" t="e">
        <f>(G255/F255)*100</f>
        <v>#DIV/0!</v>
      </c>
    </row>
    <row r="256" spans="1:8" ht="15">
      <c r="A256" s="69"/>
      <c r="B256" s="69">
        <v>6171</v>
      </c>
      <c r="C256" s="69">
        <v>2324</v>
      </c>
      <c r="D256" s="64" t="s">
        <v>207</v>
      </c>
      <c r="E256" s="142">
        <v>40</v>
      </c>
      <c r="F256" s="77">
        <v>40</v>
      </c>
      <c r="G256" s="78">
        <v>35</v>
      </c>
      <c r="H256" s="65">
        <f>(G256/F256)*100</f>
        <v>87.5</v>
      </c>
    </row>
    <row r="257" spans="1:8" ht="15" customHeight="1" thickBot="1">
      <c r="A257" s="121"/>
      <c r="B257" s="121"/>
      <c r="C257" s="121"/>
      <c r="D257" s="121"/>
      <c r="E257" s="122"/>
      <c r="F257" s="123"/>
      <c r="G257" s="124"/>
      <c r="H257" s="122"/>
    </row>
    <row r="258" spans="1:8" s="84" customFormat="1" ht="21.75" customHeight="1" thickBot="1" thickTop="1">
      <c r="A258" s="126"/>
      <c r="B258" s="126"/>
      <c r="C258" s="126"/>
      <c r="D258" s="127" t="s">
        <v>208</v>
      </c>
      <c r="E258" s="128">
        <f>SUM(E250:E256)</f>
        <v>2240</v>
      </c>
      <c r="F258" s="129">
        <f>SUM(F250:F256)</f>
        <v>2240</v>
      </c>
      <c r="G258" s="130">
        <f>SUM(G250:G256)</f>
        <v>847.2</v>
      </c>
      <c r="H258" s="81">
        <f>(G258/F258)*100</f>
        <v>37.82142857142857</v>
      </c>
    </row>
    <row r="259" spans="1:8" ht="15" customHeight="1">
      <c r="A259" s="103"/>
      <c r="B259" s="103"/>
      <c r="C259" s="103"/>
      <c r="D259" s="47"/>
      <c r="E259" s="104"/>
      <c r="F259" s="104"/>
      <c r="G259" s="104"/>
      <c r="H259" s="104"/>
    </row>
    <row r="260" spans="1:8" ht="15" customHeight="1">
      <c r="A260" s="103"/>
      <c r="B260" s="103"/>
      <c r="C260" s="103"/>
      <c r="D260" s="47"/>
      <c r="E260" s="104"/>
      <c r="F260" s="104"/>
      <c r="G260" s="104"/>
      <c r="H260" s="104"/>
    </row>
    <row r="261" spans="1:8" ht="15" customHeight="1" hidden="1">
      <c r="A261" s="103"/>
      <c r="B261" s="103"/>
      <c r="C261" s="103"/>
      <c r="D261" s="47"/>
      <c r="E261" s="104"/>
      <c r="F261" s="104"/>
      <c r="G261" s="104"/>
      <c r="H261" s="104"/>
    </row>
    <row r="262" spans="1:8" ht="15" customHeight="1" thickBot="1">
      <c r="A262" s="103"/>
      <c r="B262" s="103"/>
      <c r="C262" s="103"/>
      <c r="D262" s="47"/>
      <c r="E262" s="104"/>
      <c r="F262" s="104"/>
      <c r="G262" s="104"/>
      <c r="H262" s="104"/>
    </row>
    <row r="263" spans="1:8" ht="15.75">
      <c r="A263" s="52" t="s">
        <v>27</v>
      </c>
      <c r="B263" s="52" t="s">
        <v>28</v>
      </c>
      <c r="C263" s="52" t="s">
        <v>29</v>
      </c>
      <c r="D263" s="53" t="s">
        <v>30</v>
      </c>
      <c r="E263" s="54" t="s">
        <v>31</v>
      </c>
      <c r="F263" s="54" t="s">
        <v>31</v>
      </c>
      <c r="G263" s="54" t="s">
        <v>8</v>
      </c>
      <c r="H263" s="54" t="s">
        <v>32</v>
      </c>
    </row>
    <row r="264" spans="1:8" ht="15.75" customHeight="1" thickBot="1">
      <c r="A264" s="55"/>
      <c r="B264" s="55"/>
      <c r="C264" s="55"/>
      <c r="D264" s="56"/>
      <c r="E264" s="57" t="s">
        <v>33</v>
      </c>
      <c r="F264" s="57" t="s">
        <v>34</v>
      </c>
      <c r="G264" s="58" t="s">
        <v>35</v>
      </c>
      <c r="H264" s="57" t="s">
        <v>36</v>
      </c>
    </row>
    <row r="265" spans="1:8" ht="15.75" customHeight="1" thickTop="1">
      <c r="A265" s="143">
        <v>110</v>
      </c>
      <c r="B265" s="109"/>
      <c r="C265" s="109"/>
      <c r="D265" s="109" t="s">
        <v>209</v>
      </c>
      <c r="E265" s="61"/>
      <c r="F265" s="62"/>
      <c r="G265" s="63"/>
      <c r="H265" s="61"/>
    </row>
    <row r="266" spans="1:8" ht="15.75">
      <c r="A266" s="143"/>
      <c r="B266" s="109"/>
      <c r="C266" s="109"/>
      <c r="D266" s="109"/>
      <c r="E266" s="61"/>
      <c r="F266" s="62"/>
      <c r="G266" s="63"/>
      <c r="H266" s="61"/>
    </row>
    <row r="267" spans="1:8" ht="15">
      <c r="A267" s="64"/>
      <c r="B267" s="64"/>
      <c r="C267" s="64">
        <v>1111</v>
      </c>
      <c r="D267" s="64" t="s">
        <v>210</v>
      </c>
      <c r="E267" s="117">
        <v>48000</v>
      </c>
      <c r="F267" s="115">
        <v>48000</v>
      </c>
      <c r="G267" s="116">
        <v>18912.1</v>
      </c>
      <c r="H267" s="65">
        <f aca="true" t="shared" si="7" ref="H267:H291">(G267/F267)*100</f>
        <v>39.40020833333333</v>
      </c>
    </row>
    <row r="268" spans="1:8" ht="15">
      <c r="A268" s="64"/>
      <c r="B268" s="64"/>
      <c r="C268" s="64">
        <v>1112</v>
      </c>
      <c r="D268" s="64" t="s">
        <v>211</v>
      </c>
      <c r="E268" s="110">
        <v>6000</v>
      </c>
      <c r="F268" s="111">
        <v>6000</v>
      </c>
      <c r="G268" s="112">
        <v>2275.5</v>
      </c>
      <c r="H268" s="65">
        <f t="shared" si="7"/>
        <v>37.925</v>
      </c>
    </row>
    <row r="269" spans="1:8" ht="15">
      <c r="A269" s="64"/>
      <c r="B269" s="64"/>
      <c r="C269" s="64">
        <v>1113</v>
      </c>
      <c r="D269" s="64" t="s">
        <v>212</v>
      </c>
      <c r="E269" s="110">
        <v>4700</v>
      </c>
      <c r="F269" s="111">
        <v>4700</v>
      </c>
      <c r="G269" s="112">
        <v>1997.4</v>
      </c>
      <c r="H269" s="65">
        <f t="shared" si="7"/>
        <v>42.49787234042554</v>
      </c>
    </row>
    <row r="270" spans="1:8" ht="15">
      <c r="A270" s="64"/>
      <c r="B270" s="64"/>
      <c r="C270" s="64">
        <v>1121</v>
      </c>
      <c r="D270" s="64" t="s">
        <v>213</v>
      </c>
      <c r="E270" s="110">
        <v>45000</v>
      </c>
      <c r="F270" s="111">
        <v>45000</v>
      </c>
      <c r="G270" s="116">
        <v>19389.8</v>
      </c>
      <c r="H270" s="65">
        <f t="shared" si="7"/>
        <v>43.08844444444444</v>
      </c>
    </row>
    <row r="271" spans="1:8" ht="15">
      <c r="A271" s="64"/>
      <c r="B271" s="64"/>
      <c r="C271" s="64">
        <v>1122</v>
      </c>
      <c r="D271" s="64" t="s">
        <v>214</v>
      </c>
      <c r="E271" s="117">
        <v>10000</v>
      </c>
      <c r="F271" s="115">
        <v>9425.2</v>
      </c>
      <c r="G271" s="116">
        <v>9425.1</v>
      </c>
      <c r="H271" s="65">
        <f t="shared" si="7"/>
        <v>99.99893901455673</v>
      </c>
    </row>
    <row r="272" spans="1:8" ht="15">
      <c r="A272" s="64"/>
      <c r="B272" s="64"/>
      <c r="C272" s="64">
        <v>1211</v>
      </c>
      <c r="D272" s="64" t="s">
        <v>215</v>
      </c>
      <c r="E272" s="117">
        <v>102000</v>
      </c>
      <c r="F272" s="115">
        <v>102000</v>
      </c>
      <c r="G272" s="116">
        <v>34973.5</v>
      </c>
      <c r="H272" s="65">
        <f t="shared" si="7"/>
        <v>34.28774509803922</v>
      </c>
    </row>
    <row r="273" spans="1:8" ht="15">
      <c r="A273" s="64"/>
      <c r="B273" s="64"/>
      <c r="C273" s="64">
        <v>1340</v>
      </c>
      <c r="D273" s="64" t="s">
        <v>216</v>
      </c>
      <c r="E273" s="117">
        <v>10300</v>
      </c>
      <c r="F273" s="115">
        <v>10300</v>
      </c>
      <c r="G273" s="144">
        <v>4185.2</v>
      </c>
      <c r="H273" s="65">
        <f t="shared" si="7"/>
        <v>40.63300970873786</v>
      </c>
    </row>
    <row r="274" spans="1:8" ht="15">
      <c r="A274" s="64"/>
      <c r="B274" s="64"/>
      <c r="C274" s="64">
        <v>1341</v>
      </c>
      <c r="D274" s="64" t="s">
        <v>217</v>
      </c>
      <c r="E274" s="145">
        <v>950</v>
      </c>
      <c r="F274" s="146">
        <v>950</v>
      </c>
      <c r="G274" s="144">
        <v>650.4</v>
      </c>
      <c r="H274" s="65">
        <f t="shared" si="7"/>
        <v>68.46315789473684</v>
      </c>
    </row>
    <row r="275" spans="1:8" ht="15" customHeight="1">
      <c r="A275" s="108"/>
      <c r="B275" s="109"/>
      <c r="C275" s="147">
        <v>1342</v>
      </c>
      <c r="D275" s="147" t="s">
        <v>218</v>
      </c>
      <c r="E275" s="113">
        <v>50</v>
      </c>
      <c r="F275" s="62">
        <v>50</v>
      </c>
      <c r="G275" s="63">
        <v>13.5</v>
      </c>
      <c r="H275" s="65">
        <f t="shared" si="7"/>
        <v>27</v>
      </c>
    </row>
    <row r="276" spans="1:8" ht="15">
      <c r="A276" s="148"/>
      <c r="B276" s="147"/>
      <c r="C276" s="147">
        <v>1343</v>
      </c>
      <c r="D276" s="147" t="s">
        <v>219</v>
      </c>
      <c r="E276" s="113">
        <v>1100</v>
      </c>
      <c r="F276" s="62">
        <v>1100</v>
      </c>
      <c r="G276" s="63">
        <v>557.7</v>
      </c>
      <c r="H276" s="65">
        <f t="shared" si="7"/>
        <v>50.7</v>
      </c>
    </row>
    <row r="277" spans="1:8" ht="15">
      <c r="A277" s="99"/>
      <c r="B277" s="64"/>
      <c r="C277" s="64">
        <v>1345</v>
      </c>
      <c r="D277" s="64" t="s">
        <v>220</v>
      </c>
      <c r="E277" s="149">
        <v>200</v>
      </c>
      <c r="F277" s="111">
        <v>200</v>
      </c>
      <c r="G277" s="112">
        <v>56</v>
      </c>
      <c r="H277" s="65">
        <f t="shared" si="7"/>
        <v>28.000000000000004</v>
      </c>
    </row>
    <row r="278" spans="1:8" ht="15" hidden="1">
      <c r="A278" s="64"/>
      <c r="B278" s="64"/>
      <c r="C278" s="64">
        <v>1347</v>
      </c>
      <c r="D278" s="64" t="s">
        <v>221</v>
      </c>
      <c r="E278" s="145"/>
      <c r="F278" s="146"/>
      <c r="G278" s="144"/>
      <c r="H278" s="65" t="e">
        <f t="shared" si="7"/>
        <v>#DIV/0!</v>
      </c>
    </row>
    <row r="279" spans="1:8" ht="15" hidden="1">
      <c r="A279" s="64"/>
      <c r="B279" s="64"/>
      <c r="C279" s="64">
        <v>1349</v>
      </c>
      <c r="D279" s="64" t="s">
        <v>222</v>
      </c>
      <c r="E279" s="117"/>
      <c r="F279" s="115"/>
      <c r="G279" s="116"/>
      <c r="H279" s="65" t="e">
        <f t="shared" si="7"/>
        <v>#DIV/0!</v>
      </c>
    </row>
    <row r="280" spans="1:8" ht="15">
      <c r="A280" s="64"/>
      <c r="B280" s="64"/>
      <c r="C280" s="64">
        <v>1351.5</v>
      </c>
      <c r="D280" s="64" t="s">
        <v>223</v>
      </c>
      <c r="E280" s="117">
        <v>18500</v>
      </c>
      <c r="F280" s="115">
        <v>18500</v>
      </c>
      <c r="G280" s="116">
        <f>303.6+5820.5</f>
        <v>6124.1</v>
      </c>
      <c r="H280" s="65">
        <f t="shared" si="7"/>
        <v>33.10324324324325</v>
      </c>
    </row>
    <row r="281" spans="1:8" ht="15" hidden="1">
      <c r="A281" s="64"/>
      <c r="B281" s="64"/>
      <c r="C281" s="64">
        <v>1361</v>
      </c>
      <c r="D281" s="64" t="s">
        <v>224</v>
      </c>
      <c r="E281" s="145"/>
      <c r="F281" s="146"/>
      <c r="G281" s="144"/>
      <c r="H281" s="65" t="e">
        <f t="shared" si="7"/>
        <v>#DIV/0!</v>
      </c>
    </row>
    <row r="282" spans="1:8" ht="15">
      <c r="A282" s="64"/>
      <c r="B282" s="64"/>
      <c r="C282" s="64">
        <v>1511</v>
      </c>
      <c r="D282" s="64" t="s">
        <v>225</v>
      </c>
      <c r="E282" s="65">
        <v>21500</v>
      </c>
      <c r="F282" s="66">
        <v>21500</v>
      </c>
      <c r="G282" s="67">
        <v>359</v>
      </c>
      <c r="H282" s="65">
        <f t="shared" si="7"/>
        <v>1.669767441860465</v>
      </c>
    </row>
    <row r="283" spans="1:8" ht="15" customHeight="1" hidden="1">
      <c r="A283" s="64"/>
      <c r="B283" s="64"/>
      <c r="C283" s="64">
        <v>2460</v>
      </c>
      <c r="D283" s="64" t="s">
        <v>226</v>
      </c>
      <c r="E283" s="65"/>
      <c r="F283" s="66"/>
      <c r="G283" s="67"/>
      <c r="H283" s="65" t="e">
        <f t="shared" si="7"/>
        <v>#DIV/0!</v>
      </c>
    </row>
    <row r="284" spans="1:8" ht="15">
      <c r="A284" s="64"/>
      <c r="B284" s="64"/>
      <c r="C284" s="64">
        <v>4112</v>
      </c>
      <c r="D284" s="64" t="s">
        <v>466</v>
      </c>
      <c r="E284" s="65">
        <v>34000</v>
      </c>
      <c r="F284" s="66">
        <v>34754</v>
      </c>
      <c r="G284" s="67">
        <v>11584.8</v>
      </c>
      <c r="H284" s="65">
        <f t="shared" si="7"/>
        <v>33.33371698221787</v>
      </c>
    </row>
    <row r="285" spans="1:8" ht="15" hidden="1">
      <c r="A285" s="64"/>
      <c r="B285" s="64">
        <v>6171</v>
      </c>
      <c r="C285" s="64">
        <v>2212</v>
      </c>
      <c r="D285" s="64" t="s">
        <v>227</v>
      </c>
      <c r="E285" s="65"/>
      <c r="F285" s="66"/>
      <c r="G285" s="67"/>
      <c r="H285" s="65" t="e">
        <f t="shared" si="7"/>
        <v>#DIV/0!</v>
      </c>
    </row>
    <row r="286" spans="1:8" ht="15">
      <c r="A286" s="64"/>
      <c r="B286" s="64"/>
      <c r="C286" s="64">
        <v>4132</v>
      </c>
      <c r="D286" s="64" t="s">
        <v>228</v>
      </c>
      <c r="E286" s="65">
        <v>0</v>
      </c>
      <c r="F286" s="66">
        <v>0</v>
      </c>
      <c r="G286" s="67">
        <v>125.5</v>
      </c>
      <c r="H286" s="65" t="e">
        <f t="shared" si="7"/>
        <v>#DIV/0!</v>
      </c>
    </row>
    <row r="287" spans="1:8" ht="15" hidden="1">
      <c r="A287" s="64"/>
      <c r="B287" s="64">
        <v>6171</v>
      </c>
      <c r="C287" s="64">
        <v>2328</v>
      </c>
      <c r="D287" s="64" t="s">
        <v>229</v>
      </c>
      <c r="E287" s="65"/>
      <c r="F287" s="66"/>
      <c r="G287" s="67"/>
      <c r="H287" s="65" t="e">
        <f t="shared" si="7"/>
        <v>#DIV/0!</v>
      </c>
    </row>
    <row r="288" spans="1:8" ht="15">
      <c r="A288" s="64"/>
      <c r="B288" s="64">
        <v>6310</v>
      </c>
      <c r="C288" s="64">
        <v>2141</v>
      </c>
      <c r="D288" s="64" t="s">
        <v>230</v>
      </c>
      <c r="E288" s="65">
        <v>300</v>
      </c>
      <c r="F288" s="66">
        <v>300</v>
      </c>
      <c r="G288" s="67">
        <v>260.4</v>
      </c>
      <c r="H288" s="65">
        <f t="shared" si="7"/>
        <v>86.79999999999998</v>
      </c>
    </row>
    <row r="289" spans="1:8" ht="15" hidden="1">
      <c r="A289" s="64"/>
      <c r="B289" s="64">
        <v>6310</v>
      </c>
      <c r="C289" s="64">
        <v>2142</v>
      </c>
      <c r="D289" s="64" t="s">
        <v>231</v>
      </c>
      <c r="E289" s="150"/>
      <c r="F289" s="151"/>
      <c r="G289" s="67"/>
      <c r="H289" s="65" t="e">
        <f t="shared" si="7"/>
        <v>#DIV/0!</v>
      </c>
    </row>
    <row r="290" spans="1:8" ht="15">
      <c r="A290" s="64"/>
      <c r="B290" s="64">
        <v>6310</v>
      </c>
      <c r="C290" s="64">
        <v>2329</v>
      </c>
      <c r="D290" s="64" t="s">
        <v>232</v>
      </c>
      <c r="E290" s="150">
        <v>0</v>
      </c>
      <c r="F290" s="151">
        <v>0</v>
      </c>
      <c r="G290" s="67">
        <v>0.1</v>
      </c>
      <c r="H290" s="65" t="e">
        <f t="shared" si="7"/>
        <v>#DIV/0!</v>
      </c>
    </row>
    <row r="291" spans="1:8" ht="15">
      <c r="A291" s="64"/>
      <c r="B291" s="64">
        <v>6409</v>
      </c>
      <c r="C291" s="64">
        <v>2328</v>
      </c>
      <c r="D291" s="64" t="s">
        <v>233</v>
      </c>
      <c r="E291" s="150">
        <v>0</v>
      </c>
      <c r="F291" s="151">
        <v>0</v>
      </c>
      <c r="G291" s="67">
        <v>29.6</v>
      </c>
      <c r="H291" s="65" t="e">
        <f t="shared" si="7"/>
        <v>#DIV/0!</v>
      </c>
    </row>
    <row r="292" spans="1:8" ht="15.75" customHeight="1" thickBot="1">
      <c r="A292" s="121"/>
      <c r="B292" s="121"/>
      <c r="C292" s="121"/>
      <c r="D292" s="121"/>
      <c r="E292" s="152"/>
      <c r="F292" s="153"/>
      <c r="G292" s="154"/>
      <c r="H292" s="152"/>
    </row>
    <row r="293" spans="1:8" s="84" customFormat="1" ht="21.75" customHeight="1" thickBot="1" thickTop="1">
      <c r="A293" s="126"/>
      <c r="B293" s="126"/>
      <c r="C293" s="126"/>
      <c r="D293" s="127" t="s">
        <v>234</v>
      </c>
      <c r="E293" s="128">
        <f>SUM(E267:E292)</f>
        <v>302600</v>
      </c>
      <c r="F293" s="129">
        <f>SUM(F267:F292)</f>
        <v>302779.2</v>
      </c>
      <c r="G293" s="130">
        <f>SUM(G267:G292)</f>
        <v>110919.7</v>
      </c>
      <c r="H293" s="81">
        <f>(G293/F293)*100</f>
        <v>36.63385727949608</v>
      </c>
    </row>
    <row r="294" spans="1:8" ht="15" customHeight="1">
      <c r="A294" s="103"/>
      <c r="B294" s="103"/>
      <c r="C294" s="103"/>
      <c r="D294" s="47"/>
      <c r="E294" s="104"/>
      <c r="F294" s="104"/>
      <c r="G294" s="104"/>
      <c r="H294" s="104"/>
    </row>
    <row r="295" spans="1:8" ht="15" customHeight="1">
      <c r="A295" s="103"/>
      <c r="B295" s="103"/>
      <c r="C295" s="103"/>
      <c r="D295" s="47"/>
      <c r="E295" s="104"/>
      <c r="F295" s="104"/>
      <c r="G295" s="104"/>
      <c r="H295" s="104"/>
    </row>
    <row r="296" spans="1:8" ht="15" customHeight="1">
      <c r="A296" s="103"/>
      <c r="B296" s="103"/>
      <c r="C296" s="103"/>
      <c r="D296" s="47"/>
      <c r="E296" s="104"/>
      <c r="F296" s="104"/>
      <c r="G296" s="104"/>
      <c r="H296" s="104"/>
    </row>
    <row r="297" spans="1:8" ht="15" customHeight="1">
      <c r="A297" s="103"/>
      <c r="B297" s="103"/>
      <c r="C297" s="103"/>
      <c r="D297" s="47"/>
      <c r="E297" s="104"/>
      <c r="F297" s="104"/>
      <c r="G297" s="104"/>
      <c r="H297" s="104"/>
    </row>
    <row r="298" spans="1:8" ht="15">
      <c r="A298" s="84"/>
      <c r="B298" s="103"/>
      <c r="C298" s="103"/>
      <c r="D298" s="103"/>
      <c r="E298" s="155"/>
      <c r="F298" s="155"/>
      <c r="G298" s="155"/>
      <c r="H298" s="155"/>
    </row>
    <row r="299" spans="1:8" ht="15">
      <c r="A299" s="84"/>
      <c r="B299" s="103"/>
      <c r="C299" s="103"/>
      <c r="D299" s="103"/>
      <c r="E299" s="155"/>
      <c r="F299" s="155"/>
      <c r="G299" s="155"/>
      <c r="H299" s="155"/>
    </row>
    <row r="300" spans="1:8" ht="15" customHeight="1" thickBot="1">
      <c r="A300" s="84"/>
      <c r="B300" s="103"/>
      <c r="C300" s="103"/>
      <c r="D300" s="103"/>
      <c r="E300" s="155"/>
      <c r="F300" s="155"/>
      <c r="G300" s="155"/>
      <c r="H300" s="155"/>
    </row>
    <row r="301" spans="1:8" ht="15.75">
      <c r="A301" s="52" t="s">
        <v>27</v>
      </c>
      <c r="B301" s="52" t="s">
        <v>28</v>
      </c>
      <c r="C301" s="52" t="s">
        <v>29</v>
      </c>
      <c r="D301" s="53" t="s">
        <v>30</v>
      </c>
      <c r="E301" s="54" t="s">
        <v>31</v>
      </c>
      <c r="F301" s="54" t="s">
        <v>31</v>
      </c>
      <c r="G301" s="54" t="s">
        <v>8</v>
      </c>
      <c r="H301" s="54" t="s">
        <v>32</v>
      </c>
    </row>
    <row r="302" spans="1:8" ht="15.75" customHeight="1" thickBot="1">
      <c r="A302" s="55"/>
      <c r="B302" s="55"/>
      <c r="C302" s="55"/>
      <c r="D302" s="56"/>
      <c r="E302" s="57" t="s">
        <v>33</v>
      </c>
      <c r="F302" s="57" t="s">
        <v>34</v>
      </c>
      <c r="G302" s="58" t="s">
        <v>35</v>
      </c>
      <c r="H302" s="57" t="s">
        <v>36</v>
      </c>
    </row>
    <row r="303" spans="1:8" ht="16.5" customHeight="1" thickTop="1">
      <c r="A303" s="59">
        <v>120</v>
      </c>
      <c r="B303" s="59"/>
      <c r="C303" s="59"/>
      <c r="D303" s="109" t="s">
        <v>235</v>
      </c>
      <c r="E303" s="61"/>
      <c r="F303" s="62"/>
      <c r="G303" s="63"/>
      <c r="H303" s="61"/>
    </row>
    <row r="304" spans="1:8" ht="15.75">
      <c r="A304" s="109"/>
      <c r="B304" s="109"/>
      <c r="C304" s="109"/>
      <c r="D304" s="109"/>
      <c r="E304" s="65"/>
      <c r="F304" s="66"/>
      <c r="G304" s="67"/>
      <c r="H304" s="65"/>
    </row>
    <row r="305" spans="1:8" ht="15" hidden="1">
      <c r="A305" s="64"/>
      <c r="B305" s="64">
        <v>2219</v>
      </c>
      <c r="C305" s="64">
        <v>2133</v>
      </c>
      <c r="D305" s="64" t="s">
        <v>236</v>
      </c>
      <c r="E305" s="156"/>
      <c r="F305" s="157"/>
      <c r="G305" s="158"/>
      <c r="H305" s="65" t="e">
        <f>(#REF!/F305)*100</f>
        <v>#REF!</v>
      </c>
    </row>
    <row r="306" spans="1:8" ht="15">
      <c r="A306" s="64"/>
      <c r="B306" s="64">
        <v>3612</v>
      </c>
      <c r="C306" s="64">
        <v>2111</v>
      </c>
      <c r="D306" s="64" t="s">
        <v>237</v>
      </c>
      <c r="E306" s="156">
        <v>4000</v>
      </c>
      <c r="F306" s="157">
        <v>4000</v>
      </c>
      <c r="G306" s="158">
        <v>1367.9</v>
      </c>
      <c r="H306" s="65">
        <f aca="true" t="shared" si="8" ref="H306:H343">(G306/F306)*100</f>
        <v>34.197500000000005</v>
      </c>
    </row>
    <row r="307" spans="1:8" ht="15">
      <c r="A307" s="64"/>
      <c r="B307" s="64">
        <v>3612</v>
      </c>
      <c r="C307" s="64">
        <v>2132</v>
      </c>
      <c r="D307" s="64" t="s">
        <v>238</v>
      </c>
      <c r="E307" s="156">
        <v>8600</v>
      </c>
      <c r="F307" s="157">
        <v>8600</v>
      </c>
      <c r="G307" s="158">
        <v>2962.8</v>
      </c>
      <c r="H307" s="65">
        <f t="shared" si="8"/>
        <v>34.45116279069767</v>
      </c>
    </row>
    <row r="308" spans="1:8" ht="15">
      <c r="A308" s="64"/>
      <c r="B308" s="64">
        <v>3612</v>
      </c>
      <c r="C308" s="64">
        <v>2322</v>
      </c>
      <c r="D308" s="64" t="s">
        <v>200</v>
      </c>
      <c r="E308" s="156">
        <v>0</v>
      </c>
      <c r="F308" s="157">
        <v>0</v>
      </c>
      <c r="G308" s="158">
        <v>93.8</v>
      </c>
      <c r="H308" s="65" t="e">
        <f t="shared" si="8"/>
        <v>#DIV/0!</v>
      </c>
    </row>
    <row r="309" spans="1:8" ht="15">
      <c r="A309" s="64"/>
      <c r="B309" s="64">
        <v>3612</v>
      </c>
      <c r="C309" s="64">
        <v>2324</v>
      </c>
      <c r="D309" s="64" t="s">
        <v>239</v>
      </c>
      <c r="E309" s="65">
        <v>0</v>
      </c>
      <c r="F309" s="66">
        <v>0</v>
      </c>
      <c r="G309" s="67">
        <v>676.5</v>
      </c>
      <c r="H309" s="65" t="e">
        <f t="shared" si="8"/>
        <v>#DIV/0!</v>
      </c>
    </row>
    <row r="310" spans="1:8" ht="15" hidden="1">
      <c r="A310" s="64"/>
      <c r="B310" s="64">
        <v>3612</v>
      </c>
      <c r="C310" s="64">
        <v>2329</v>
      </c>
      <c r="D310" s="64" t="s">
        <v>240</v>
      </c>
      <c r="E310" s="65"/>
      <c r="F310" s="66"/>
      <c r="G310" s="67"/>
      <c r="H310" s="65" t="e">
        <f t="shared" si="8"/>
        <v>#DIV/0!</v>
      </c>
    </row>
    <row r="311" spans="1:8" ht="15">
      <c r="A311" s="64"/>
      <c r="B311" s="64">
        <v>3612</v>
      </c>
      <c r="C311" s="64">
        <v>3112</v>
      </c>
      <c r="D311" s="64" t="s">
        <v>241</v>
      </c>
      <c r="E311" s="65">
        <v>4130</v>
      </c>
      <c r="F311" s="66">
        <v>4130</v>
      </c>
      <c r="G311" s="67">
        <v>0</v>
      </c>
      <c r="H311" s="65">
        <f t="shared" si="8"/>
        <v>0</v>
      </c>
    </row>
    <row r="312" spans="1:8" ht="15">
      <c r="A312" s="64"/>
      <c r="B312" s="64">
        <v>3613</v>
      </c>
      <c r="C312" s="64">
        <v>2111</v>
      </c>
      <c r="D312" s="64" t="s">
        <v>242</v>
      </c>
      <c r="E312" s="156">
        <v>1950</v>
      </c>
      <c r="F312" s="157">
        <v>1950</v>
      </c>
      <c r="G312" s="158">
        <v>590.9</v>
      </c>
      <c r="H312" s="65">
        <f t="shared" si="8"/>
        <v>30.3025641025641</v>
      </c>
    </row>
    <row r="313" spans="1:8" ht="15">
      <c r="A313" s="64"/>
      <c r="B313" s="64">
        <v>3613</v>
      </c>
      <c r="C313" s="64">
        <v>2132</v>
      </c>
      <c r="D313" s="64" t="s">
        <v>243</v>
      </c>
      <c r="E313" s="156">
        <v>4800</v>
      </c>
      <c r="F313" s="157">
        <v>4800</v>
      </c>
      <c r="G313" s="158">
        <v>1816.4</v>
      </c>
      <c r="H313" s="65">
        <f t="shared" si="8"/>
        <v>37.84166666666667</v>
      </c>
    </row>
    <row r="314" spans="1:8" ht="15" hidden="1">
      <c r="A314" s="69"/>
      <c r="B314" s="64">
        <v>3613</v>
      </c>
      <c r="C314" s="64">
        <v>2133</v>
      </c>
      <c r="D314" s="64" t="s">
        <v>244</v>
      </c>
      <c r="E314" s="65"/>
      <c r="F314" s="66"/>
      <c r="G314" s="67"/>
      <c r="H314" s="65" t="e">
        <f t="shared" si="8"/>
        <v>#DIV/0!</v>
      </c>
    </row>
    <row r="315" spans="1:8" ht="15" hidden="1">
      <c r="A315" s="69"/>
      <c r="B315" s="64">
        <v>3613</v>
      </c>
      <c r="C315" s="64">
        <v>2310</v>
      </c>
      <c r="D315" s="64" t="s">
        <v>245</v>
      </c>
      <c r="E315" s="65"/>
      <c r="F315" s="66"/>
      <c r="G315" s="67"/>
      <c r="H315" s="65" t="e">
        <f t="shared" si="8"/>
        <v>#DIV/0!</v>
      </c>
    </row>
    <row r="316" spans="1:8" ht="15" hidden="1">
      <c r="A316" s="69"/>
      <c r="B316" s="64">
        <v>3613</v>
      </c>
      <c r="C316" s="64">
        <v>2322</v>
      </c>
      <c r="D316" s="64" t="s">
        <v>246</v>
      </c>
      <c r="E316" s="65"/>
      <c r="F316" s="66"/>
      <c r="G316" s="67"/>
      <c r="H316" s="65" t="e">
        <f t="shared" si="8"/>
        <v>#DIV/0!</v>
      </c>
    </row>
    <row r="317" spans="1:8" ht="15">
      <c r="A317" s="69"/>
      <c r="B317" s="64">
        <v>3613</v>
      </c>
      <c r="C317" s="64">
        <v>2324</v>
      </c>
      <c r="D317" s="64" t="s">
        <v>247</v>
      </c>
      <c r="E317" s="65">
        <v>0</v>
      </c>
      <c r="F317" s="66">
        <v>0</v>
      </c>
      <c r="G317" s="67">
        <v>171.5</v>
      </c>
      <c r="H317" s="65" t="e">
        <f t="shared" si="8"/>
        <v>#DIV/0!</v>
      </c>
    </row>
    <row r="318" spans="1:8" ht="15">
      <c r="A318" s="69"/>
      <c r="B318" s="64">
        <v>3613</v>
      </c>
      <c r="C318" s="64">
        <v>3112</v>
      </c>
      <c r="D318" s="64" t="s">
        <v>248</v>
      </c>
      <c r="E318" s="65">
        <v>1327</v>
      </c>
      <c r="F318" s="66">
        <v>1327</v>
      </c>
      <c r="G318" s="67">
        <v>306.6</v>
      </c>
      <c r="H318" s="65">
        <f t="shared" si="8"/>
        <v>23.10474755086662</v>
      </c>
    </row>
    <row r="319" spans="1:8" ht="15">
      <c r="A319" s="69"/>
      <c r="B319" s="64">
        <v>3631</v>
      </c>
      <c r="C319" s="64">
        <v>2133</v>
      </c>
      <c r="D319" s="64" t="s">
        <v>249</v>
      </c>
      <c r="E319" s="65">
        <v>380</v>
      </c>
      <c r="F319" s="66">
        <v>380</v>
      </c>
      <c r="G319" s="67">
        <v>0</v>
      </c>
      <c r="H319" s="65">
        <f t="shared" si="8"/>
        <v>0</v>
      </c>
    </row>
    <row r="320" spans="1:8" ht="15">
      <c r="A320" s="69"/>
      <c r="B320" s="64">
        <v>3632</v>
      </c>
      <c r="C320" s="64">
        <v>2111</v>
      </c>
      <c r="D320" s="64" t="s">
        <v>250</v>
      </c>
      <c r="E320" s="65">
        <v>400</v>
      </c>
      <c r="F320" s="66">
        <v>400</v>
      </c>
      <c r="G320" s="67">
        <v>185</v>
      </c>
      <c r="H320" s="65">
        <f t="shared" si="8"/>
        <v>46.25</v>
      </c>
    </row>
    <row r="321" spans="1:8" ht="15">
      <c r="A321" s="69"/>
      <c r="B321" s="64">
        <v>3632</v>
      </c>
      <c r="C321" s="64">
        <v>2132</v>
      </c>
      <c r="D321" s="64" t="s">
        <v>251</v>
      </c>
      <c r="E321" s="65">
        <v>20</v>
      </c>
      <c r="F321" s="66">
        <v>20</v>
      </c>
      <c r="G321" s="67">
        <v>0</v>
      </c>
      <c r="H321" s="65">
        <f t="shared" si="8"/>
        <v>0</v>
      </c>
    </row>
    <row r="322" spans="1:8" ht="15">
      <c r="A322" s="69"/>
      <c r="B322" s="64">
        <v>3632</v>
      </c>
      <c r="C322" s="64">
        <v>2133</v>
      </c>
      <c r="D322" s="64" t="s">
        <v>252</v>
      </c>
      <c r="E322" s="65">
        <v>5</v>
      </c>
      <c r="F322" s="66">
        <v>5</v>
      </c>
      <c r="G322" s="67">
        <v>0</v>
      </c>
      <c r="H322" s="65">
        <f t="shared" si="8"/>
        <v>0</v>
      </c>
    </row>
    <row r="323" spans="1:8" ht="15">
      <c r="A323" s="69"/>
      <c r="B323" s="64">
        <v>3632</v>
      </c>
      <c r="C323" s="64">
        <v>2324</v>
      </c>
      <c r="D323" s="64" t="s">
        <v>253</v>
      </c>
      <c r="E323" s="65">
        <v>0</v>
      </c>
      <c r="F323" s="66">
        <v>0</v>
      </c>
      <c r="G323" s="67">
        <v>0.8</v>
      </c>
      <c r="H323" s="65" t="e">
        <f t="shared" si="8"/>
        <v>#DIV/0!</v>
      </c>
    </row>
    <row r="324" spans="1:8" ht="15">
      <c r="A324" s="69"/>
      <c r="B324" s="64">
        <v>3632</v>
      </c>
      <c r="C324" s="64">
        <v>2329</v>
      </c>
      <c r="D324" s="64" t="s">
        <v>254</v>
      </c>
      <c r="E324" s="65">
        <v>50</v>
      </c>
      <c r="F324" s="66">
        <v>50</v>
      </c>
      <c r="G324" s="67">
        <v>23.4</v>
      </c>
      <c r="H324" s="65">
        <f t="shared" si="8"/>
        <v>46.8</v>
      </c>
    </row>
    <row r="325" spans="1:8" ht="15">
      <c r="A325" s="69"/>
      <c r="B325" s="64">
        <v>3634</v>
      </c>
      <c r="C325" s="64">
        <v>2132</v>
      </c>
      <c r="D325" s="64" t="s">
        <v>255</v>
      </c>
      <c r="E325" s="65">
        <v>4171</v>
      </c>
      <c r="F325" s="66">
        <v>4171</v>
      </c>
      <c r="G325" s="67">
        <v>4157.5</v>
      </c>
      <c r="H325" s="65">
        <f t="shared" si="8"/>
        <v>99.67633660992567</v>
      </c>
    </row>
    <row r="326" spans="1:8" ht="15" hidden="1">
      <c r="A326" s="69"/>
      <c r="B326" s="64">
        <v>3636</v>
      </c>
      <c r="C326" s="64">
        <v>2131</v>
      </c>
      <c r="D326" s="64" t="s">
        <v>256</v>
      </c>
      <c r="E326" s="65"/>
      <c r="F326" s="66"/>
      <c r="G326" s="67"/>
      <c r="H326" s="65" t="e">
        <f t="shared" si="8"/>
        <v>#DIV/0!</v>
      </c>
    </row>
    <row r="327" spans="1:8" ht="15">
      <c r="A327" s="69"/>
      <c r="B327" s="64">
        <v>3639</v>
      </c>
      <c r="C327" s="64">
        <v>2119</v>
      </c>
      <c r="D327" s="64" t="s">
        <v>257</v>
      </c>
      <c r="E327" s="65">
        <v>100</v>
      </c>
      <c r="F327" s="66">
        <v>100</v>
      </c>
      <c r="G327" s="67">
        <v>294.7</v>
      </c>
      <c r="H327" s="65">
        <f t="shared" si="8"/>
        <v>294.7</v>
      </c>
    </row>
    <row r="328" spans="1:8" ht="15">
      <c r="A328" s="64"/>
      <c r="B328" s="64">
        <v>3639</v>
      </c>
      <c r="C328" s="64">
        <v>2131</v>
      </c>
      <c r="D328" s="64" t="s">
        <v>258</v>
      </c>
      <c r="E328" s="65">
        <v>1600</v>
      </c>
      <c r="F328" s="66">
        <v>1600</v>
      </c>
      <c r="G328" s="67">
        <v>890</v>
      </c>
      <c r="H328" s="65">
        <f t="shared" si="8"/>
        <v>55.625</v>
      </c>
    </row>
    <row r="329" spans="1:8" ht="15">
      <c r="A329" s="64"/>
      <c r="B329" s="64">
        <v>3639</v>
      </c>
      <c r="C329" s="64">
        <v>2132</v>
      </c>
      <c r="D329" s="64" t="s">
        <v>259</v>
      </c>
      <c r="E329" s="65">
        <v>18</v>
      </c>
      <c r="F329" s="66">
        <v>18</v>
      </c>
      <c r="G329" s="67">
        <v>5.7</v>
      </c>
      <c r="H329" s="65">
        <f t="shared" si="8"/>
        <v>31.666666666666664</v>
      </c>
    </row>
    <row r="330" spans="1:8" ht="15" customHeight="1" hidden="1">
      <c r="A330" s="64"/>
      <c r="B330" s="64">
        <v>3639</v>
      </c>
      <c r="C330" s="64">
        <v>2212</v>
      </c>
      <c r="D330" s="64" t="s">
        <v>260</v>
      </c>
      <c r="E330" s="65"/>
      <c r="F330" s="66"/>
      <c r="G330" s="67"/>
      <c r="H330" s="65" t="e">
        <f t="shared" si="8"/>
        <v>#DIV/0!</v>
      </c>
    </row>
    <row r="331" spans="1:8" ht="15">
      <c r="A331" s="64"/>
      <c r="B331" s="64">
        <v>3639</v>
      </c>
      <c r="C331" s="64">
        <v>2324</v>
      </c>
      <c r="D331" s="64" t="s">
        <v>261</v>
      </c>
      <c r="E331" s="65">
        <v>110.1</v>
      </c>
      <c r="F331" s="66">
        <v>110.1</v>
      </c>
      <c r="G331" s="67">
        <v>39.7</v>
      </c>
      <c r="H331" s="65">
        <f t="shared" si="8"/>
        <v>36.05812897366032</v>
      </c>
    </row>
    <row r="332" spans="1:8" ht="15">
      <c r="A332" s="64"/>
      <c r="B332" s="64">
        <v>3639</v>
      </c>
      <c r="C332" s="64">
        <v>2328</v>
      </c>
      <c r="D332" s="64" t="s">
        <v>262</v>
      </c>
      <c r="E332" s="65">
        <v>0</v>
      </c>
      <c r="F332" s="66">
        <v>0</v>
      </c>
      <c r="G332" s="67">
        <v>0</v>
      </c>
      <c r="H332" s="65" t="e">
        <f t="shared" si="8"/>
        <v>#DIV/0!</v>
      </c>
    </row>
    <row r="333" spans="1:8" ht="15">
      <c r="A333" s="64"/>
      <c r="B333" s="64">
        <v>3639</v>
      </c>
      <c r="C333" s="64">
        <v>3111</v>
      </c>
      <c r="D333" s="64" t="s">
        <v>263</v>
      </c>
      <c r="E333" s="65">
        <v>214</v>
      </c>
      <c r="F333" s="66">
        <v>214</v>
      </c>
      <c r="G333" s="67">
        <v>136.8</v>
      </c>
      <c r="H333" s="65">
        <f t="shared" si="8"/>
        <v>63.925233644859816</v>
      </c>
    </row>
    <row r="334" spans="1:8" ht="15" hidden="1">
      <c r="A334" s="64"/>
      <c r="B334" s="64">
        <v>3639</v>
      </c>
      <c r="C334" s="64">
        <v>3112</v>
      </c>
      <c r="D334" s="64" t="s">
        <v>264</v>
      </c>
      <c r="E334" s="65"/>
      <c r="F334" s="66"/>
      <c r="G334" s="67"/>
      <c r="H334" s="65" t="e">
        <f t="shared" si="8"/>
        <v>#DIV/0!</v>
      </c>
    </row>
    <row r="335" spans="1:8" ht="15" hidden="1">
      <c r="A335" s="64"/>
      <c r="B335" s="64">
        <v>3639</v>
      </c>
      <c r="C335" s="64">
        <v>3113</v>
      </c>
      <c r="D335" s="64" t="s">
        <v>265</v>
      </c>
      <c r="E335" s="65"/>
      <c r="F335" s="66"/>
      <c r="G335" s="67"/>
      <c r="H335" s="65" t="e">
        <f t="shared" si="8"/>
        <v>#DIV/0!</v>
      </c>
    </row>
    <row r="336" spans="1:8" ht="15" customHeight="1">
      <c r="A336" s="91"/>
      <c r="B336" s="91">
        <v>3639</v>
      </c>
      <c r="C336" s="91">
        <v>3119</v>
      </c>
      <c r="D336" s="91" t="s">
        <v>266</v>
      </c>
      <c r="E336" s="65">
        <v>7200</v>
      </c>
      <c r="F336" s="66">
        <v>7200</v>
      </c>
      <c r="G336" s="67">
        <v>0</v>
      </c>
      <c r="H336" s="65">
        <f t="shared" si="8"/>
        <v>0</v>
      </c>
    </row>
    <row r="337" spans="1:8" ht="15" hidden="1">
      <c r="A337" s="91"/>
      <c r="B337" s="91">
        <v>6171</v>
      </c>
      <c r="C337" s="91">
        <v>2131</v>
      </c>
      <c r="D337" s="91" t="s">
        <v>267</v>
      </c>
      <c r="E337" s="65"/>
      <c r="F337" s="66"/>
      <c r="G337" s="67"/>
      <c r="H337" s="65" t="e">
        <f t="shared" si="8"/>
        <v>#DIV/0!</v>
      </c>
    </row>
    <row r="338" spans="1:8" ht="15" hidden="1">
      <c r="A338" s="64"/>
      <c r="B338" s="64">
        <v>6171</v>
      </c>
      <c r="C338" s="64">
        <v>2324</v>
      </c>
      <c r="D338" s="64" t="s">
        <v>268</v>
      </c>
      <c r="E338" s="65"/>
      <c r="F338" s="66"/>
      <c r="G338" s="67"/>
      <c r="H338" s="65" t="e">
        <f t="shared" si="8"/>
        <v>#DIV/0!</v>
      </c>
    </row>
    <row r="339" spans="1:8" ht="15" hidden="1">
      <c r="A339" s="64"/>
      <c r="B339" s="64"/>
      <c r="C339" s="64"/>
      <c r="D339" s="64"/>
      <c r="E339" s="65"/>
      <c r="F339" s="66"/>
      <c r="G339" s="67"/>
      <c r="H339" s="65" t="e">
        <f t="shared" si="8"/>
        <v>#DIV/0!</v>
      </c>
    </row>
    <row r="340" spans="1:8" ht="15" customHeight="1">
      <c r="A340" s="91"/>
      <c r="B340" s="91">
        <v>6171</v>
      </c>
      <c r="C340" s="91">
        <v>2131</v>
      </c>
      <c r="D340" s="91" t="s">
        <v>269</v>
      </c>
      <c r="E340" s="65">
        <v>10</v>
      </c>
      <c r="F340" s="66">
        <v>10</v>
      </c>
      <c r="G340" s="67">
        <v>0</v>
      </c>
      <c r="H340" s="65">
        <f t="shared" si="8"/>
        <v>0</v>
      </c>
    </row>
    <row r="341" spans="1:8" ht="15" customHeight="1" hidden="1">
      <c r="A341" s="91"/>
      <c r="B341" s="91">
        <v>6171</v>
      </c>
      <c r="C341" s="91">
        <v>2133</v>
      </c>
      <c r="D341" s="91" t="s">
        <v>270</v>
      </c>
      <c r="E341" s="65"/>
      <c r="F341" s="66"/>
      <c r="G341" s="67"/>
      <c r="H341" s="65" t="e">
        <f t="shared" si="8"/>
        <v>#DIV/0!</v>
      </c>
    </row>
    <row r="342" spans="1:8" ht="15" customHeight="1" hidden="1">
      <c r="A342" s="64"/>
      <c r="B342" s="64">
        <v>6409</v>
      </c>
      <c r="C342" s="64">
        <v>2328</v>
      </c>
      <c r="D342" s="64" t="s">
        <v>271</v>
      </c>
      <c r="E342" s="65"/>
      <c r="F342" s="66"/>
      <c r="G342" s="67"/>
      <c r="H342" s="65" t="e">
        <f t="shared" si="8"/>
        <v>#DIV/0!</v>
      </c>
    </row>
    <row r="343" spans="1:8" ht="15" customHeight="1">
      <c r="A343" s="91"/>
      <c r="B343" s="91">
        <v>6409</v>
      </c>
      <c r="C343" s="91">
        <v>2328</v>
      </c>
      <c r="D343" s="91" t="s">
        <v>271</v>
      </c>
      <c r="E343" s="65">
        <v>0</v>
      </c>
      <c r="F343" s="66">
        <v>0</v>
      </c>
      <c r="G343" s="67">
        <v>0.5</v>
      </c>
      <c r="H343" s="65" t="e">
        <f t="shared" si="8"/>
        <v>#DIV/0!</v>
      </c>
    </row>
    <row r="344" spans="1:8" ht="15.75" customHeight="1" thickBot="1">
      <c r="A344" s="159"/>
      <c r="B344" s="159"/>
      <c r="C344" s="159"/>
      <c r="D344" s="159"/>
      <c r="E344" s="160"/>
      <c r="F344" s="161"/>
      <c r="G344" s="162"/>
      <c r="H344" s="160"/>
    </row>
    <row r="345" spans="1:8" s="84" customFormat="1" ht="22.5" customHeight="1" thickBot="1" thickTop="1">
      <c r="A345" s="126"/>
      <c r="B345" s="126"/>
      <c r="C345" s="126"/>
      <c r="D345" s="127" t="s">
        <v>272</v>
      </c>
      <c r="E345" s="128">
        <f>SUM(E304:E344)</f>
        <v>39085.1</v>
      </c>
      <c r="F345" s="129">
        <f>SUM(F304:F344)</f>
        <v>39085.1</v>
      </c>
      <c r="G345" s="130">
        <f>SUM(G304:G344)</f>
        <v>13720.500000000004</v>
      </c>
      <c r="H345" s="81">
        <f>(G345/F345)*100</f>
        <v>35.10417013132883</v>
      </c>
    </row>
    <row r="346" spans="1:8" ht="15" customHeight="1">
      <c r="A346" s="84"/>
      <c r="B346" s="103"/>
      <c r="C346" s="103"/>
      <c r="D346" s="103"/>
      <c r="E346" s="155"/>
      <c r="F346" s="155"/>
      <c r="G346" s="155"/>
      <c r="H346" s="155"/>
    </row>
    <row r="347" spans="1:8" ht="15" customHeight="1" hidden="1">
      <c r="A347" s="84"/>
      <c r="B347" s="103"/>
      <c r="C347" s="103"/>
      <c r="D347" s="103"/>
      <c r="E347" s="155"/>
      <c r="F347" s="155"/>
      <c r="G347" s="155"/>
      <c r="H347" s="155"/>
    </row>
    <row r="348" spans="1:8" ht="15" customHeight="1" hidden="1">
      <c r="A348" s="84"/>
      <c r="B348" s="103"/>
      <c r="C348" s="103"/>
      <c r="D348" s="103"/>
      <c r="E348" s="155"/>
      <c r="F348" s="155"/>
      <c r="G348" s="155"/>
      <c r="H348" s="155"/>
    </row>
    <row r="349" spans="1:8" ht="15" customHeight="1" hidden="1">
      <c r="A349" s="84"/>
      <c r="B349" s="103"/>
      <c r="C349" s="103"/>
      <c r="D349" s="103"/>
      <c r="E349" s="155"/>
      <c r="F349" s="155"/>
      <c r="G349" s="43"/>
      <c r="H349" s="43"/>
    </row>
    <row r="350" spans="1:8" ht="15" customHeight="1" hidden="1">
      <c r="A350" s="84"/>
      <c r="B350" s="103"/>
      <c r="C350" s="103"/>
      <c r="D350" s="103"/>
      <c r="E350" s="155"/>
      <c r="F350" s="155"/>
      <c r="G350" s="155"/>
      <c r="H350" s="155"/>
    </row>
    <row r="351" spans="1:8" ht="15" customHeight="1">
      <c r="A351" s="84"/>
      <c r="B351" s="103"/>
      <c r="C351" s="103"/>
      <c r="D351" s="103"/>
      <c r="E351" s="155"/>
      <c r="F351" s="155"/>
      <c r="G351" s="155"/>
      <c r="H351" s="155"/>
    </row>
    <row r="352" spans="1:8" ht="15" customHeight="1" thickBot="1">
      <c r="A352" s="84"/>
      <c r="B352" s="103"/>
      <c r="C352" s="103"/>
      <c r="D352" s="103"/>
      <c r="E352" s="155"/>
      <c r="F352" s="155"/>
      <c r="G352" s="155"/>
      <c r="H352" s="155"/>
    </row>
    <row r="353" spans="1:8" ht="15.75">
      <c r="A353" s="52" t="s">
        <v>27</v>
      </c>
      <c r="B353" s="52" t="s">
        <v>28</v>
      </c>
      <c r="C353" s="52" t="s">
        <v>29</v>
      </c>
      <c r="D353" s="53" t="s">
        <v>30</v>
      </c>
      <c r="E353" s="54" t="s">
        <v>31</v>
      </c>
      <c r="F353" s="54" t="s">
        <v>31</v>
      </c>
      <c r="G353" s="54" t="s">
        <v>8</v>
      </c>
      <c r="H353" s="54" t="s">
        <v>32</v>
      </c>
    </row>
    <row r="354" spans="1:8" ht="15.75" customHeight="1" thickBot="1">
      <c r="A354" s="55"/>
      <c r="B354" s="55"/>
      <c r="C354" s="55"/>
      <c r="D354" s="56"/>
      <c r="E354" s="57" t="s">
        <v>33</v>
      </c>
      <c r="F354" s="57" t="s">
        <v>34</v>
      </c>
      <c r="G354" s="58" t="s">
        <v>35</v>
      </c>
      <c r="H354" s="57" t="s">
        <v>36</v>
      </c>
    </row>
    <row r="355" spans="1:8" ht="16.5" thickTop="1">
      <c r="A355" s="59">
        <v>8888</v>
      </c>
      <c r="B355" s="59"/>
      <c r="C355" s="59"/>
      <c r="D355" s="60"/>
      <c r="E355" s="61"/>
      <c r="F355" s="62"/>
      <c r="G355" s="63"/>
      <c r="H355" s="61"/>
    </row>
    <row r="356" spans="1:8" ht="15">
      <c r="A356" s="64"/>
      <c r="B356" s="64">
        <v>6171</v>
      </c>
      <c r="C356" s="64">
        <v>2329</v>
      </c>
      <c r="D356" s="64" t="s">
        <v>273</v>
      </c>
      <c r="E356" s="65">
        <v>0</v>
      </c>
      <c r="F356" s="66">
        <v>0</v>
      </c>
      <c r="G356" s="67">
        <v>0</v>
      </c>
      <c r="H356" s="65" t="e">
        <f>(G356/F356)*100</f>
        <v>#DIV/0!</v>
      </c>
    </row>
    <row r="357" spans="1:8" ht="15">
      <c r="A357" s="64"/>
      <c r="B357" s="64"/>
      <c r="C357" s="64"/>
      <c r="D357" s="64" t="s">
        <v>274</v>
      </c>
      <c r="E357" s="65"/>
      <c r="F357" s="66"/>
      <c r="G357" s="67"/>
      <c r="H357" s="65"/>
    </row>
    <row r="358" spans="1:8" ht="15.75" thickBot="1">
      <c r="A358" s="121"/>
      <c r="B358" s="121"/>
      <c r="C358" s="121"/>
      <c r="D358" s="121" t="s">
        <v>275</v>
      </c>
      <c r="E358" s="122"/>
      <c r="F358" s="123"/>
      <c r="G358" s="124"/>
      <c r="H358" s="122"/>
    </row>
    <row r="359" spans="1:8" s="84" customFormat="1" ht="22.5" customHeight="1" thickBot="1" thickTop="1">
      <c r="A359" s="126"/>
      <c r="B359" s="126"/>
      <c r="C359" s="126"/>
      <c r="D359" s="127" t="s">
        <v>276</v>
      </c>
      <c r="E359" s="128">
        <f>SUM(E356:E357)</f>
        <v>0</v>
      </c>
      <c r="F359" s="129">
        <f>SUM(F356:F357)</f>
        <v>0</v>
      </c>
      <c r="G359" s="128">
        <f>SUM(G356:G357)</f>
        <v>0</v>
      </c>
      <c r="H359" s="81" t="e">
        <f>(G359/F359)*100</f>
        <v>#DIV/0!</v>
      </c>
    </row>
    <row r="360" spans="1:8" ht="15">
      <c r="A360" s="84"/>
      <c r="B360" s="103"/>
      <c r="C360" s="103"/>
      <c r="D360" s="103"/>
      <c r="E360" s="155"/>
      <c r="F360" s="155"/>
      <c r="G360" s="155"/>
      <c r="H360" s="155"/>
    </row>
    <row r="361" spans="1:8" ht="15" hidden="1">
      <c r="A361" s="84"/>
      <c r="B361" s="103"/>
      <c r="C361" s="103"/>
      <c r="D361" s="103"/>
      <c r="E361" s="155"/>
      <c r="F361" s="155"/>
      <c r="G361" s="155"/>
      <c r="H361" s="155"/>
    </row>
    <row r="362" spans="1:8" ht="15" hidden="1">
      <c r="A362" s="84"/>
      <c r="B362" s="103"/>
      <c r="C362" s="103"/>
      <c r="D362" s="103"/>
      <c r="E362" s="155"/>
      <c r="F362" s="155"/>
      <c r="G362" s="155"/>
      <c r="H362" s="155"/>
    </row>
    <row r="363" spans="1:8" ht="15" hidden="1">
      <c r="A363" s="84"/>
      <c r="B363" s="103"/>
      <c r="C363" s="103"/>
      <c r="D363" s="103"/>
      <c r="E363" s="155"/>
      <c r="F363" s="155"/>
      <c r="G363" s="155"/>
      <c r="H363" s="155"/>
    </row>
    <row r="364" spans="1:8" ht="15" hidden="1">
      <c r="A364" s="84"/>
      <c r="B364" s="103"/>
      <c r="C364" s="103"/>
      <c r="D364" s="103"/>
      <c r="E364" s="155"/>
      <c r="F364" s="155"/>
      <c r="G364" s="155"/>
      <c r="H364" s="155"/>
    </row>
    <row r="365" spans="1:8" ht="15" hidden="1">
      <c r="A365" s="84"/>
      <c r="B365" s="103"/>
      <c r="C365" s="103"/>
      <c r="D365" s="103"/>
      <c r="E365" s="155"/>
      <c r="F365" s="155"/>
      <c r="G365" s="155"/>
      <c r="H365" s="155"/>
    </row>
    <row r="366" spans="1:8" ht="15" customHeight="1">
      <c r="A366" s="84"/>
      <c r="B366" s="103"/>
      <c r="C366" s="103"/>
      <c r="D366" s="103"/>
      <c r="E366" s="155"/>
      <c r="F366" s="155"/>
      <c r="G366" s="155"/>
      <c r="H366" s="155"/>
    </row>
    <row r="367" spans="1:8" ht="15" customHeight="1" thickBot="1">
      <c r="A367" s="84"/>
      <c r="B367" s="84"/>
      <c r="C367" s="84"/>
      <c r="D367" s="84"/>
      <c r="E367" s="85"/>
      <c r="F367" s="85"/>
      <c r="G367" s="85"/>
      <c r="H367" s="85"/>
    </row>
    <row r="368" spans="1:8" ht="15.75">
      <c r="A368" s="52" t="s">
        <v>27</v>
      </c>
      <c r="B368" s="52" t="s">
        <v>28</v>
      </c>
      <c r="C368" s="52" t="s">
        <v>29</v>
      </c>
      <c r="D368" s="53" t="s">
        <v>30</v>
      </c>
      <c r="E368" s="54" t="s">
        <v>31</v>
      </c>
      <c r="F368" s="54" t="s">
        <v>31</v>
      </c>
      <c r="G368" s="54" t="s">
        <v>8</v>
      </c>
      <c r="H368" s="54" t="s">
        <v>32</v>
      </c>
    </row>
    <row r="369" spans="1:8" ht="15.75" customHeight="1" thickBot="1">
      <c r="A369" s="55"/>
      <c r="B369" s="55"/>
      <c r="C369" s="55"/>
      <c r="D369" s="56"/>
      <c r="E369" s="57" t="s">
        <v>33</v>
      </c>
      <c r="F369" s="57" t="s">
        <v>34</v>
      </c>
      <c r="G369" s="58" t="s">
        <v>35</v>
      </c>
      <c r="H369" s="57" t="s">
        <v>36</v>
      </c>
    </row>
    <row r="370" spans="1:8" s="84" customFormat="1" ht="30.75" customHeight="1" thickBot="1" thickTop="1">
      <c r="A370" s="127"/>
      <c r="B370" s="163"/>
      <c r="C370" s="164"/>
      <c r="D370" s="165" t="s">
        <v>277</v>
      </c>
      <c r="E370" s="166">
        <f>SUM(E60,E102,E141,E169,E195,E219,E238,E258,E293,E345,E359)</f>
        <v>434937.1</v>
      </c>
      <c r="F370" s="167">
        <f>SUM(F60,F102,F141,F169,F195,F219,F238,F258,F293,F345,F359)</f>
        <v>435339</v>
      </c>
      <c r="G370" s="168">
        <f>SUM(G60,G102,G141,G169,G195,G219,G238,G258,G293,G345,G359)</f>
        <v>150087.19999999998</v>
      </c>
      <c r="H370" s="166">
        <f>(G370/F370)*100</f>
        <v>34.47593714323779</v>
      </c>
    </row>
    <row r="371" spans="1:8" ht="15" customHeight="1">
      <c r="A371" s="47"/>
      <c r="B371" s="169"/>
      <c r="C371" s="170"/>
      <c r="D371" s="171"/>
      <c r="E371" s="172"/>
      <c r="F371" s="172"/>
      <c r="G371" s="172"/>
      <c r="H371" s="172"/>
    </row>
    <row r="372" spans="1:8" ht="15" customHeight="1" hidden="1">
      <c r="A372" s="47"/>
      <c r="B372" s="169"/>
      <c r="C372" s="170"/>
      <c r="D372" s="171"/>
      <c r="E372" s="172"/>
      <c r="F372" s="172"/>
      <c r="G372" s="172"/>
      <c r="H372" s="172"/>
    </row>
    <row r="373" spans="1:8" ht="12.75" customHeight="1" hidden="1">
      <c r="A373" s="47"/>
      <c r="B373" s="169"/>
      <c r="C373" s="170"/>
      <c r="D373" s="171"/>
      <c r="E373" s="172"/>
      <c r="F373" s="172"/>
      <c r="G373" s="172"/>
      <c r="H373" s="172"/>
    </row>
    <row r="374" spans="1:8" ht="12.75" customHeight="1" hidden="1">
      <c r="A374" s="47"/>
      <c r="B374" s="169"/>
      <c r="C374" s="170"/>
      <c r="D374" s="171"/>
      <c r="E374" s="172"/>
      <c r="F374" s="172"/>
      <c r="G374" s="172"/>
      <c r="H374" s="172"/>
    </row>
    <row r="375" spans="1:8" ht="12.75" customHeight="1" hidden="1">
      <c r="A375" s="47"/>
      <c r="B375" s="169"/>
      <c r="C375" s="170"/>
      <c r="D375" s="171"/>
      <c r="E375" s="172"/>
      <c r="F375" s="172"/>
      <c r="G375" s="172"/>
      <c r="H375" s="172"/>
    </row>
    <row r="376" spans="1:8" ht="12.75" customHeight="1" hidden="1">
      <c r="A376" s="47"/>
      <c r="B376" s="169"/>
      <c r="C376" s="170"/>
      <c r="D376" s="171"/>
      <c r="E376" s="172"/>
      <c r="F376" s="172"/>
      <c r="G376" s="172"/>
      <c r="H376" s="172"/>
    </row>
    <row r="377" spans="1:8" ht="12.75" customHeight="1" hidden="1">
      <c r="A377" s="47"/>
      <c r="B377" s="169"/>
      <c r="C377" s="170"/>
      <c r="D377" s="171"/>
      <c r="E377" s="172"/>
      <c r="F377" s="172"/>
      <c r="G377" s="172"/>
      <c r="H377" s="172"/>
    </row>
    <row r="378" spans="1:8" ht="12.75" customHeight="1" hidden="1">
      <c r="A378" s="47"/>
      <c r="B378" s="169"/>
      <c r="C378" s="170"/>
      <c r="D378" s="171"/>
      <c r="E378" s="172"/>
      <c r="F378" s="172"/>
      <c r="G378" s="172"/>
      <c r="H378" s="172"/>
    </row>
    <row r="379" spans="1:8" ht="15" customHeight="1">
      <c r="A379" s="47"/>
      <c r="B379" s="169"/>
      <c r="C379" s="170"/>
      <c r="D379" s="171"/>
      <c r="E379" s="172"/>
      <c r="F379" s="172"/>
      <c r="G379" s="172"/>
      <c r="H379" s="172"/>
    </row>
    <row r="380" spans="1:8" ht="15" customHeight="1" thickBot="1">
      <c r="A380" s="47"/>
      <c r="B380" s="169"/>
      <c r="C380" s="170"/>
      <c r="D380" s="171"/>
      <c r="E380" s="173"/>
      <c r="F380" s="173"/>
      <c r="G380" s="173"/>
      <c r="H380" s="173"/>
    </row>
    <row r="381" spans="1:8" ht="15.75">
      <c r="A381" s="52" t="s">
        <v>27</v>
      </c>
      <c r="B381" s="52" t="s">
        <v>28</v>
      </c>
      <c r="C381" s="52" t="s">
        <v>29</v>
      </c>
      <c r="D381" s="53" t="s">
        <v>30</v>
      </c>
      <c r="E381" s="54" t="s">
        <v>31</v>
      </c>
      <c r="F381" s="54" t="s">
        <v>31</v>
      </c>
      <c r="G381" s="54" t="s">
        <v>8</v>
      </c>
      <c r="H381" s="54" t="s">
        <v>32</v>
      </c>
    </row>
    <row r="382" spans="1:8" ht="15.75" customHeight="1" thickBot="1">
      <c r="A382" s="55"/>
      <c r="B382" s="55"/>
      <c r="C382" s="55"/>
      <c r="D382" s="56"/>
      <c r="E382" s="57" t="s">
        <v>33</v>
      </c>
      <c r="F382" s="57" t="s">
        <v>34</v>
      </c>
      <c r="G382" s="58" t="s">
        <v>35</v>
      </c>
      <c r="H382" s="57" t="s">
        <v>36</v>
      </c>
    </row>
    <row r="383" spans="1:8" ht="16.5" customHeight="1" thickTop="1">
      <c r="A383" s="143">
        <v>110</v>
      </c>
      <c r="B383" s="143"/>
      <c r="C383" s="143"/>
      <c r="D383" s="174" t="s">
        <v>278</v>
      </c>
      <c r="E383" s="175"/>
      <c r="F383" s="176"/>
      <c r="G383" s="177"/>
      <c r="H383" s="175"/>
    </row>
    <row r="384" spans="1:8" ht="14.25" customHeight="1">
      <c r="A384" s="178"/>
      <c r="B384" s="178"/>
      <c r="C384" s="178"/>
      <c r="D384" s="47"/>
      <c r="E384" s="175"/>
      <c r="F384" s="176"/>
      <c r="G384" s="177"/>
      <c r="H384" s="175"/>
    </row>
    <row r="385" spans="1:8" ht="15" customHeight="1">
      <c r="A385" s="64"/>
      <c r="B385" s="64"/>
      <c r="C385" s="64">
        <v>8115</v>
      </c>
      <c r="D385" s="99" t="s">
        <v>279</v>
      </c>
      <c r="E385" s="179">
        <v>75633.4</v>
      </c>
      <c r="F385" s="180">
        <v>89793.5</v>
      </c>
      <c r="G385" s="181">
        <v>-19786.9</v>
      </c>
      <c r="H385" s="65">
        <f>(G385/F385)*100</f>
        <v>-22.03600483331199</v>
      </c>
    </row>
    <row r="386" spans="1:8" ht="15" hidden="1">
      <c r="A386" s="64"/>
      <c r="B386" s="64"/>
      <c r="C386" s="64">
        <v>8123</v>
      </c>
      <c r="D386" s="118" t="s">
        <v>280</v>
      </c>
      <c r="E386" s="70">
        <v>0</v>
      </c>
      <c r="F386" s="71"/>
      <c r="G386" s="72"/>
      <c r="H386" s="65" t="e">
        <f>(G386/F386)*100</f>
        <v>#DIV/0!</v>
      </c>
    </row>
    <row r="387" spans="1:8" ht="14.25" customHeight="1">
      <c r="A387" s="64"/>
      <c r="B387" s="64"/>
      <c r="C387" s="64">
        <v>8124</v>
      </c>
      <c r="D387" s="99" t="s">
        <v>281</v>
      </c>
      <c r="E387" s="65">
        <v>-18032</v>
      </c>
      <c r="F387" s="66">
        <v>-18032</v>
      </c>
      <c r="G387" s="67">
        <v>-5403.2</v>
      </c>
      <c r="H387" s="65">
        <f>(G387/F387)*100</f>
        <v>29.964507542147295</v>
      </c>
    </row>
    <row r="388" spans="1:8" ht="15" customHeight="1" hidden="1">
      <c r="A388" s="75"/>
      <c r="B388" s="75"/>
      <c r="C388" s="75">
        <v>8902</v>
      </c>
      <c r="D388" s="101" t="s">
        <v>282</v>
      </c>
      <c r="E388" s="76"/>
      <c r="F388" s="77"/>
      <c r="G388" s="78"/>
      <c r="H388" s="70" t="e">
        <f>(#REF!/F388)*100</f>
        <v>#REF!</v>
      </c>
    </row>
    <row r="389" spans="1:8" ht="14.25" customHeight="1" hidden="1">
      <c r="A389" s="64"/>
      <c r="B389" s="64"/>
      <c r="C389" s="64">
        <v>8905</v>
      </c>
      <c r="D389" s="99" t="s">
        <v>283</v>
      </c>
      <c r="E389" s="65"/>
      <c r="F389" s="66"/>
      <c r="G389" s="67"/>
      <c r="H389" s="65" t="e">
        <f>(#REF!/F389)*100</f>
        <v>#REF!</v>
      </c>
    </row>
    <row r="390" spans="1:8" ht="15" customHeight="1" thickBot="1">
      <c r="A390" s="121"/>
      <c r="B390" s="121"/>
      <c r="C390" s="121"/>
      <c r="D390" s="120"/>
      <c r="E390" s="122"/>
      <c r="F390" s="123"/>
      <c r="G390" s="124"/>
      <c r="H390" s="122"/>
    </row>
    <row r="391" spans="1:8" s="84" customFormat="1" ht="22.5" customHeight="1" thickBot="1" thickTop="1">
      <c r="A391" s="126"/>
      <c r="B391" s="126"/>
      <c r="C391" s="126"/>
      <c r="D391" s="182" t="s">
        <v>284</v>
      </c>
      <c r="E391" s="128">
        <f>SUM(E385:E389)</f>
        <v>57601.399999999994</v>
      </c>
      <c r="F391" s="129">
        <f>SUM(F385:F389)</f>
        <v>71761.5</v>
      </c>
      <c r="G391" s="130">
        <f>SUM(G385:G389)</f>
        <v>-25190.100000000002</v>
      </c>
      <c r="H391" s="81">
        <f>(G391/F391)*100</f>
        <v>-35.10252712108861</v>
      </c>
    </row>
    <row r="392" spans="1:8" s="84" customFormat="1" ht="22.5" customHeight="1">
      <c r="A392" s="103"/>
      <c r="B392" s="103"/>
      <c r="C392" s="103"/>
      <c r="D392" s="47"/>
      <c r="E392" s="104"/>
      <c r="F392" s="183"/>
      <c r="G392" s="104"/>
      <c r="H392" s="104"/>
    </row>
    <row r="393" spans="1:8" ht="15" customHeight="1">
      <c r="A393" s="84" t="s">
        <v>285</v>
      </c>
      <c r="B393" s="84"/>
      <c r="C393" s="84"/>
      <c r="D393" s="47"/>
      <c r="E393" s="104"/>
      <c r="F393" s="183"/>
      <c r="G393" s="104"/>
      <c r="H393" s="104"/>
    </row>
    <row r="394" spans="1:8" ht="15">
      <c r="A394" s="103"/>
      <c r="B394" s="84"/>
      <c r="C394" s="103"/>
      <c r="D394" s="84"/>
      <c r="E394" s="85"/>
      <c r="F394" s="184"/>
      <c r="G394" s="85"/>
      <c r="H394" s="85"/>
    </row>
    <row r="395" spans="1:8" ht="15">
      <c r="A395" s="103"/>
      <c r="B395" s="103"/>
      <c r="C395" s="103"/>
      <c r="D395" s="84"/>
      <c r="E395" s="85"/>
      <c r="F395" s="85"/>
      <c r="G395" s="85"/>
      <c r="H395" s="85"/>
    </row>
    <row r="396" spans="1:8" ht="15" hidden="1">
      <c r="A396" s="185"/>
      <c r="B396" s="185"/>
      <c r="C396" s="185"/>
      <c r="D396" s="186" t="s">
        <v>286</v>
      </c>
      <c r="E396" s="187" t="e">
        <f>SUM(E14,#REF!,#REF!,E228,E252,E284,#REF!)</f>
        <v>#REF!</v>
      </c>
      <c r="F396" s="187"/>
      <c r="G396" s="187"/>
      <c r="H396" s="187"/>
    </row>
    <row r="397" spans="1:8" ht="15">
      <c r="A397" s="185"/>
      <c r="B397" s="185"/>
      <c r="C397" s="185"/>
      <c r="D397" s="188" t="s">
        <v>287</v>
      </c>
      <c r="E397" s="189">
        <f>E370+E391</f>
        <v>492538.5</v>
      </c>
      <c r="F397" s="189">
        <f>F370+F391</f>
        <v>507100.5</v>
      </c>
      <c r="G397" s="189">
        <f>G370+G391</f>
        <v>124897.09999999998</v>
      </c>
      <c r="H397" s="65">
        <f>(G397/F397)*100</f>
        <v>24.629654279575742</v>
      </c>
    </row>
    <row r="398" spans="1:8" ht="15" hidden="1">
      <c r="A398" s="185"/>
      <c r="B398" s="185"/>
      <c r="C398" s="185"/>
      <c r="D398" s="188" t="s">
        <v>288</v>
      </c>
      <c r="E398" s="189"/>
      <c r="F398" s="189"/>
      <c r="G398" s="189"/>
      <c r="H398" s="189"/>
    </row>
    <row r="399" spans="1:8" ht="15" hidden="1">
      <c r="A399" s="185"/>
      <c r="B399" s="185"/>
      <c r="C399" s="185"/>
      <c r="D399" s="185" t="s">
        <v>289</v>
      </c>
      <c r="E399" s="190">
        <f>SUM(E255,E311,E318,E333,E336)</f>
        <v>12871</v>
      </c>
      <c r="F399" s="190"/>
      <c r="G399" s="190"/>
      <c r="H399" s="190"/>
    </row>
    <row r="400" spans="1:8" ht="15" hidden="1">
      <c r="A400" s="186"/>
      <c r="B400" s="186"/>
      <c r="C400" s="186"/>
      <c r="D400" s="186" t="s">
        <v>290</v>
      </c>
      <c r="E400" s="187"/>
      <c r="F400" s="187"/>
      <c r="G400" s="187"/>
      <c r="H400" s="187"/>
    </row>
    <row r="401" spans="1:8" ht="15" hidden="1">
      <c r="A401" s="186"/>
      <c r="B401" s="186"/>
      <c r="C401" s="186"/>
      <c r="D401" s="186" t="s">
        <v>289</v>
      </c>
      <c r="E401" s="187"/>
      <c r="F401" s="187"/>
      <c r="G401" s="187"/>
      <c r="H401" s="187"/>
    </row>
    <row r="402" spans="1:8" ht="15" hidden="1">
      <c r="A402" s="186"/>
      <c r="B402" s="186"/>
      <c r="C402" s="186"/>
      <c r="D402" s="186"/>
      <c r="E402" s="187"/>
      <c r="F402" s="187"/>
      <c r="G402" s="187"/>
      <c r="H402" s="187"/>
    </row>
    <row r="403" spans="1:8" ht="15" hidden="1">
      <c r="A403" s="186"/>
      <c r="B403" s="186"/>
      <c r="C403" s="186"/>
      <c r="D403" s="186" t="s">
        <v>291</v>
      </c>
      <c r="E403" s="187"/>
      <c r="F403" s="187"/>
      <c r="G403" s="187"/>
      <c r="H403" s="187"/>
    </row>
    <row r="404" spans="1:8" ht="15" hidden="1">
      <c r="A404" s="186"/>
      <c r="B404" s="186"/>
      <c r="C404" s="186"/>
      <c r="D404" s="186" t="s">
        <v>292</v>
      </c>
      <c r="E404" s="187"/>
      <c r="F404" s="187"/>
      <c r="G404" s="187"/>
      <c r="H404" s="187"/>
    </row>
    <row r="405" spans="1:8" ht="15" hidden="1">
      <c r="A405" s="186"/>
      <c r="B405" s="186"/>
      <c r="C405" s="186"/>
      <c r="D405" s="186" t="s">
        <v>293</v>
      </c>
      <c r="E405" s="187" t="e">
        <f>SUM(E9,E10,#REF!,#REF!,#REF!,E150,E180,E181,E182,E183,E184,#REF!,E206,E208,E253,E267,E268,E269,E270,E271,E272,#REF!,#REF!,E278,E280,E281,E282)</f>
        <v>#REF!</v>
      </c>
      <c r="F405" s="187"/>
      <c r="G405" s="187"/>
      <c r="H405" s="187"/>
    </row>
    <row r="406" spans="1:8" ht="15.75" hidden="1">
      <c r="A406" s="186"/>
      <c r="B406" s="186"/>
      <c r="C406" s="186"/>
      <c r="D406" s="191" t="s">
        <v>294</v>
      </c>
      <c r="E406" s="192">
        <v>0</v>
      </c>
      <c r="F406" s="192"/>
      <c r="G406" s="192"/>
      <c r="H406" s="192"/>
    </row>
    <row r="407" spans="1:8" ht="15" hidden="1">
      <c r="A407" s="186"/>
      <c r="B407" s="186"/>
      <c r="C407" s="186"/>
      <c r="D407" s="186"/>
      <c r="E407" s="187"/>
      <c r="F407" s="187"/>
      <c r="G407" s="187"/>
      <c r="H407" s="187"/>
    </row>
    <row r="408" spans="1:8" ht="15" hidden="1">
      <c r="A408" s="186"/>
      <c r="B408" s="186"/>
      <c r="C408" s="186"/>
      <c r="D408" s="186"/>
      <c r="E408" s="187"/>
      <c r="F408" s="187"/>
      <c r="G408" s="187"/>
      <c r="H408" s="187"/>
    </row>
    <row r="409" spans="1:8" ht="15">
      <c r="A409" s="186"/>
      <c r="B409" s="186"/>
      <c r="C409" s="186"/>
      <c r="D409" s="186"/>
      <c r="E409" s="187"/>
      <c r="F409" s="187"/>
      <c r="G409" s="187"/>
      <c r="H409" s="187"/>
    </row>
    <row r="410" spans="1:8" ht="15">
      <c r="A410" s="186"/>
      <c r="B410" s="186"/>
      <c r="C410" s="186"/>
      <c r="D410" s="186"/>
      <c r="E410" s="187"/>
      <c r="F410" s="187"/>
      <c r="G410" s="187"/>
      <c r="H410" s="187"/>
    </row>
    <row r="411" spans="1:8" ht="15.75" hidden="1">
      <c r="A411" s="186"/>
      <c r="B411" s="186"/>
      <c r="C411" s="186"/>
      <c r="D411" s="186" t="s">
        <v>290</v>
      </c>
      <c r="E411" s="192" t="e">
        <f>SUM(E9,E10,#REF!,#REF!,#REF!,E110,E150,E180,E181,E182,E183,E184,#REF!,E206,E207,E208,E252,E267,E268,E269,E270,E271,E272,#REF!,#REF!,E278,E280,E281,E282)</f>
        <v>#REF!</v>
      </c>
      <c r="F411" s="192" t="e">
        <f>SUM(F9,F10,#REF!,#REF!,#REF!,F110,F150,F180,F181,F182,F183,F184,#REF!,F206,F207,F208,F252,F267,F268,F269,F270,F271,F272,#REF!,#REF!,F278,F280,F281,F282)</f>
        <v>#REF!</v>
      </c>
      <c r="G411" s="192" t="e">
        <f>SUM(G9,G10,#REF!,#REF!,#REF!,G110,G150,G180,G181,G182,G183,G184,#REF!,G206,G207,G208,G252,G267,G268,G269,G270,G271,G272,#REF!,#REF!,G278,G280,G281,G282)</f>
        <v>#REF!</v>
      </c>
      <c r="H411" s="192" t="e">
        <f>SUM(H9,H10,#REF!,#REF!,#REF!,H110,H150,H180,H181,H182,H183,H184,#REF!,H206,H207,H208,H252,H267,H268,H269,H270,H271,H272,#REF!,#REF!,H278,H280,H281,H282)</f>
        <v>#REF!</v>
      </c>
    </row>
    <row r="412" spans="1:8" ht="15" hidden="1">
      <c r="A412" s="186"/>
      <c r="B412" s="186"/>
      <c r="C412" s="186"/>
      <c r="D412" s="186" t="s">
        <v>295</v>
      </c>
      <c r="E412" s="187">
        <f>SUM(E267,E268,E269,E270,E272)</f>
        <v>205700</v>
      </c>
      <c r="F412" s="187">
        <f>SUM(F267,F268,F269,F270,F272)</f>
        <v>205700</v>
      </c>
      <c r="G412" s="187">
        <f>SUM(G267,G268,G269,G270,G272)</f>
        <v>77548.3</v>
      </c>
      <c r="H412" s="187">
        <f>SUM(H267,H268,H269,H270,H272)</f>
        <v>197.19927021624252</v>
      </c>
    </row>
    <row r="413" spans="1:8" ht="15" hidden="1">
      <c r="A413" s="186"/>
      <c r="B413" s="186"/>
      <c r="C413" s="186"/>
      <c r="D413" s="186" t="s">
        <v>296</v>
      </c>
      <c r="E413" s="187" t="e">
        <f>SUM(E9,#REF!,#REF!,#REF!,#REF!,#REF!,E278)</f>
        <v>#REF!</v>
      </c>
      <c r="F413" s="187" t="e">
        <f>SUM(F9,#REF!,#REF!,#REF!,#REF!,#REF!,F278)</f>
        <v>#REF!</v>
      </c>
      <c r="G413" s="187" t="e">
        <f>SUM(G9,#REF!,#REF!,#REF!,#REF!,#REF!,G278)</f>
        <v>#REF!</v>
      </c>
      <c r="H413" s="187" t="e">
        <f>SUM(H9,#REF!,#REF!,#REF!,#REF!,#REF!,H278)</f>
        <v>#REF!</v>
      </c>
    </row>
    <row r="414" spans="1:8" ht="15" hidden="1">
      <c r="A414" s="186"/>
      <c r="B414" s="186"/>
      <c r="C414" s="186"/>
      <c r="D414" s="186" t="s">
        <v>297</v>
      </c>
      <c r="E414" s="187" t="e">
        <f>SUM(E10,E110,E150,E184,#REF!,E208,E252,E281)</f>
        <v>#REF!</v>
      </c>
      <c r="F414" s="187" t="e">
        <f>SUM(F10,F110,F150,F184,#REF!,F208,F252,F281)</f>
        <v>#REF!</v>
      </c>
      <c r="G414" s="187" t="e">
        <f>SUM(G10,G110,G150,G184,#REF!,G208,G252,G281)</f>
        <v>#REF!</v>
      </c>
      <c r="H414" s="187" t="e">
        <f>SUM(H10,H110,H150,H184,#REF!,H208,H252,H281)</f>
        <v>#REF!</v>
      </c>
    </row>
    <row r="415" spans="1:8" ht="15" hidden="1">
      <c r="A415" s="186"/>
      <c r="B415" s="186"/>
      <c r="C415" s="186"/>
      <c r="D415" s="186" t="s">
        <v>298</v>
      </c>
      <c r="E415" s="187"/>
      <c r="F415" s="187"/>
      <c r="G415" s="187"/>
      <c r="H415" s="187"/>
    </row>
    <row r="416" spans="1:8" ht="15" hidden="1">
      <c r="A416" s="186"/>
      <c r="B416" s="186"/>
      <c r="C416" s="186"/>
      <c r="D416" s="186" t="s">
        <v>299</v>
      </c>
      <c r="E416" s="187" t="e">
        <f>+E370-E411-E419-E420</f>
        <v>#REF!</v>
      </c>
      <c r="F416" s="187" t="e">
        <f>+F370-F411-F419-F420</f>
        <v>#REF!</v>
      </c>
      <c r="G416" s="187" t="e">
        <f>+G370-G411-G419-G420</f>
        <v>#REF!</v>
      </c>
      <c r="H416" s="187" t="e">
        <f>+H370-H411-H419-H420</f>
        <v>#REF!</v>
      </c>
    </row>
    <row r="417" spans="1:8" ht="15" hidden="1">
      <c r="A417" s="186"/>
      <c r="B417" s="186"/>
      <c r="C417" s="186"/>
      <c r="D417" s="186" t="s">
        <v>300</v>
      </c>
      <c r="E417" s="187" t="e">
        <f>SUM(E28,E40,E51,E53,#REF!,#REF!,#REF!,E126,#REF!,E130,E305,E313,E325,E328)</f>
        <v>#REF!</v>
      </c>
      <c r="F417" s="187" t="e">
        <f>SUM(F28,F40,F51,F53,#REF!,#REF!,#REF!,F126,#REF!,F130,F305,F313,F325,F328)</f>
        <v>#REF!</v>
      </c>
      <c r="G417" s="187" t="e">
        <f>SUM(G28,G40,G51,G53,#REF!,#REF!,#REF!,G126,#REF!,G130,G305,G313,G325,G328)</f>
        <v>#REF!</v>
      </c>
      <c r="H417" s="187" t="e">
        <f>SUM(H28,H40,H51,H53,#REF!,#REF!,#REF!,H126,#REF!,H130,H305,H313,H325,H328)</f>
        <v>#REF!</v>
      </c>
    </row>
    <row r="418" spans="1:8" ht="15" hidden="1">
      <c r="A418" s="186"/>
      <c r="B418" s="186"/>
      <c r="C418" s="186"/>
      <c r="D418" s="186" t="s">
        <v>301</v>
      </c>
      <c r="E418" s="187" t="e">
        <f>SUM(E98,#REF!,E166,E191,#REF!,E214,E230,E254)</f>
        <v>#REF!</v>
      </c>
      <c r="F418" s="187" t="e">
        <f>SUM(F98,#REF!,F166,F191,#REF!,F214,F230,F254)</f>
        <v>#REF!</v>
      </c>
      <c r="G418" s="187" t="e">
        <f>SUM(G98,#REF!,G166,G191,#REF!,G214,G230,G254)</f>
        <v>#REF!</v>
      </c>
      <c r="H418" s="187" t="e">
        <f>SUM(H98,#REF!,H166,H191,#REF!,H214,H230,H254)</f>
        <v>#REF!</v>
      </c>
    </row>
    <row r="419" spans="1:8" ht="15" hidden="1">
      <c r="A419" s="186"/>
      <c r="B419" s="186"/>
      <c r="C419" s="186"/>
      <c r="D419" s="186" t="s">
        <v>289</v>
      </c>
      <c r="E419" s="187" t="e">
        <f>SUM(#REF!,E255,E311,E318,E333,E336)</f>
        <v>#REF!</v>
      </c>
      <c r="F419" s="187" t="e">
        <f>SUM(#REF!,F255,F311,F318,F333,F336)</f>
        <v>#REF!</v>
      </c>
      <c r="G419" s="187" t="e">
        <f>SUM(#REF!,G255,G311,G318,G333,G336)</f>
        <v>#REF!</v>
      </c>
      <c r="H419" s="187" t="e">
        <f>SUM(#REF!,H255,H311,H318,H333,H336)</f>
        <v>#REF!</v>
      </c>
    </row>
    <row r="420" spans="1:8" ht="15" hidden="1">
      <c r="A420" s="186"/>
      <c r="B420" s="186"/>
      <c r="C420" s="186"/>
      <c r="D420" s="186" t="s">
        <v>291</v>
      </c>
      <c r="E420" s="187" t="e">
        <f>SUM(E11,E14,E18,E82,#REF!,#REF!,#REF!,#REF!,E99,#REF!,#REF!,#REF!,#REF!,#REF!,#REF!,#REF!,E117,#REF!,E118,#REF!,E119,E121,#REF!,#REF!,#REF!,E186,E228,E253,E284)</f>
        <v>#REF!</v>
      </c>
      <c r="F420" s="187" t="e">
        <f>SUM(F11,F14,F18,F82,#REF!,#REF!,#REF!,#REF!,F99,#REF!,#REF!,#REF!,#REF!,#REF!,#REF!,#REF!,F117,#REF!,F118,#REF!,F119,F121,#REF!,#REF!,#REF!,F186,F228,F253,F284)</f>
        <v>#REF!</v>
      </c>
      <c r="G420" s="187" t="e">
        <f>SUM(G11,G14,G18,G82,#REF!,#REF!,#REF!,#REF!,G99,#REF!,#REF!,#REF!,#REF!,#REF!,#REF!,#REF!,G117,#REF!,G118,#REF!,G119,G121,#REF!,#REF!,#REF!,G186,G228,G253,G284)</f>
        <v>#REF!</v>
      </c>
      <c r="H420" s="187" t="e">
        <f>SUM(H11,H14,H18,H82,#REF!,#REF!,#REF!,#REF!,H99,#REF!,#REF!,#REF!,#REF!,#REF!,#REF!,#REF!,H117,#REF!,H118,#REF!,H119,H121,#REF!,#REF!,#REF!,H186,H228,H253,H284)</f>
        <v>#REF!</v>
      </c>
    </row>
    <row r="421" spans="1:8" ht="15" hidden="1">
      <c r="A421" s="186"/>
      <c r="B421" s="186"/>
      <c r="C421" s="186"/>
      <c r="D421" s="186"/>
      <c r="E421" s="187"/>
      <c r="F421" s="187"/>
      <c r="G421" s="187"/>
      <c r="H421" s="187"/>
    </row>
    <row r="422" spans="1:8" ht="15" hidden="1">
      <c r="A422" s="186"/>
      <c r="B422" s="186"/>
      <c r="C422" s="186"/>
      <c r="D422" s="186"/>
      <c r="E422" s="187"/>
      <c r="F422" s="187"/>
      <c r="G422" s="187"/>
      <c r="H422" s="187"/>
    </row>
    <row r="423" spans="1:8" ht="15" hidden="1">
      <c r="A423" s="186"/>
      <c r="B423" s="186"/>
      <c r="C423" s="186"/>
      <c r="D423" s="186"/>
      <c r="E423" s="187">
        <f>SUM(E308,E311,E318,E333,E336)</f>
        <v>12871</v>
      </c>
      <c r="F423" s="187">
        <f>SUM(F308,F311,F318,F333,F336)</f>
        <v>12871</v>
      </c>
      <c r="G423" s="187">
        <f>SUM(G308,G311,G318,G333,G336)</f>
        <v>537.2</v>
      </c>
      <c r="H423" s="187" t="e">
        <f>SUM(H308,H311,H318,H333,H336)</f>
        <v>#DIV/0!</v>
      </c>
    </row>
    <row r="424" spans="1:8" ht="15" hidden="1">
      <c r="A424" s="186"/>
      <c r="B424" s="186"/>
      <c r="C424" s="186"/>
      <c r="D424" s="186"/>
      <c r="E424" s="187" t="e">
        <f>SUM(#REF!,#REF!,E99,#REF!,#REF!,#REF!,#REF!,#REF!,#REF!,E253)</f>
        <v>#REF!</v>
      </c>
      <c r="F424" s="187" t="e">
        <f>SUM(#REF!,#REF!,F99,#REF!,#REF!,#REF!,#REF!,#REF!,#REF!,F253)</f>
        <v>#REF!</v>
      </c>
      <c r="G424" s="187" t="e">
        <f>SUM(#REF!,#REF!,G99,#REF!,#REF!,#REF!,#REF!,#REF!,#REF!,G253)</f>
        <v>#REF!</v>
      </c>
      <c r="H424" s="187" t="e">
        <f>SUM(#REF!,#REF!,H99,#REF!,#REF!,#REF!,#REF!,#REF!,#REF!,H253)</f>
        <v>#REF!</v>
      </c>
    </row>
    <row r="425" spans="1:8" ht="15" hidden="1">
      <c r="A425" s="186"/>
      <c r="B425" s="186"/>
      <c r="C425" s="186"/>
      <c r="D425" s="186"/>
      <c r="E425" s="187"/>
      <c r="F425" s="187"/>
      <c r="G425" s="187"/>
      <c r="H425" s="187"/>
    </row>
    <row r="426" spans="1:8" ht="15" hidden="1">
      <c r="A426" s="186"/>
      <c r="B426" s="186"/>
      <c r="C426" s="186"/>
      <c r="D426" s="186"/>
      <c r="E426" s="187" t="e">
        <f>SUM(E423:E425)</f>
        <v>#REF!</v>
      </c>
      <c r="F426" s="187" t="e">
        <f>SUM(F423:F425)</f>
        <v>#REF!</v>
      </c>
      <c r="G426" s="187" t="e">
        <f>SUM(G423:G425)</f>
        <v>#REF!</v>
      </c>
      <c r="H426" s="187" t="e">
        <f>SUM(H423:H425)</f>
        <v>#DIV/0!</v>
      </c>
    </row>
    <row r="427" spans="1:8" ht="15">
      <c r="A427" s="186"/>
      <c r="B427" s="186"/>
      <c r="C427" s="186"/>
      <c r="D427" s="186"/>
      <c r="E427" s="187"/>
      <c r="F427" s="187"/>
      <c r="G427" s="187"/>
      <c r="H427" s="187"/>
    </row>
    <row r="428" spans="1:8" ht="15">
      <c r="A428" s="186"/>
      <c r="B428" s="186"/>
      <c r="C428" s="186"/>
      <c r="D428" s="186"/>
      <c r="E428" s="187"/>
      <c r="F428" s="187"/>
      <c r="G428" s="187"/>
      <c r="H428" s="187"/>
    </row>
    <row r="429" spans="1:8" ht="15">
      <c r="A429" s="186"/>
      <c r="B429" s="186"/>
      <c r="C429" s="186"/>
      <c r="D429" s="186"/>
      <c r="E429" s="187"/>
      <c r="F429" s="187"/>
      <c r="G429" s="187"/>
      <c r="H429" s="187"/>
    </row>
    <row r="430" spans="1:8" ht="15">
      <c r="A430" s="186"/>
      <c r="B430" s="186"/>
      <c r="C430" s="186"/>
      <c r="D430" s="186"/>
      <c r="E430" s="187"/>
      <c r="F430" s="187"/>
      <c r="G430" s="187"/>
      <c r="H430" s="187"/>
    </row>
    <row r="431" spans="1:8" ht="15">
      <c r="A431" s="186"/>
      <c r="B431" s="186"/>
      <c r="C431" s="186"/>
      <c r="D431" s="186"/>
      <c r="E431" s="187"/>
      <c r="F431" s="187"/>
      <c r="G431" s="187"/>
      <c r="H431" s="187"/>
    </row>
    <row r="432" spans="1:8" ht="15">
      <c r="A432" s="186"/>
      <c r="B432" s="186"/>
      <c r="C432" s="186"/>
      <c r="D432" s="186"/>
      <c r="E432" s="187"/>
      <c r="F432" s="187"/>
      <c r="G432" s="187"/>
      <c r="H432" s="187"/>
    </row>
    <row r="433" spans="1:8" ht="15">
      <c r="A433" s="186"/>
      <c r="B433" s="186"/>
      <c r="C433" s="186"/>
      <c r="D433" s="186"/>
      <c r="E433" s="187"/>
      <c r="F433" s="187"/>
      <c r="G433" s="187"/>
      <c r="H433" s="187"/>
    </row>
    <row r="434" spans="1:8" ht="15">
      <c r="A434" s="186"/>
      <c r="B434" s="186"/>
      <c r="C434" s="186"/>
      <c r="D434" s="186"/>
      <c r="E434" s="187"/>
      <c r="F434" s="187"/>
      <c r="G434" s="187"/>
      <c r="H434" s="187"/>
    </row>
    <row r="435" spans="1:8" ht="15">
      <c r="A435" s="186"/>
      <c r="B435" s="186"/>
      <c r="C435" s="186"/>
      <c r="D435" s="186"/>
      <c r="E435" s="187"/>
      <c r="F435" s="187"/>
      <c r="G435" s="187"/>
      <c r="H435" s="187"/>
    </row>
    <row r="436" spans="1:8" ht="15">
      <c r="A436" s="186"/>
      <c r="B436" s="186"/>
      <c r="C436" s="186"/>
      <c r="D436" s="186"/>
      <c r="E436" s="187"/>
      <c r="F436" s="187"/>
      <c r="G436" s="187"/>
      <c r="H436" s="187"/>
    </row>
    <row r="437" spans="1:8" ht="15">
      <c r="A437" s="186"/>
      <c r="B437" s="186"/>
      <c r="C437" s="186"/>
      <c r="D437" s="186"/>
      <c r="E437" s="187"/>
      <c r="F437" s="187"/>
      <c r="G437" s="187"/>
      <c r="H437" s="187"/>
    </row>
    <row r="438" spans="1:8" ht="15">
      <c r="A438" s="186"/>
      <c r="B438" s="186"/>
      <c r="C438" s="186"/>
      <c r="D438" s="186"/>
      <c r="E438" s="187"/>
      <c r="F438" s="187"/>
      <c r="G438" s="187"/>
      <c r="H438" s="187"/>
    </row>
    <row r="439" spans="1:8" ht="15">
      <c r="A439" s="186"/>
      <c r="B439" s="186"/>
      <c r="C439" s="186"/>
      <c r="D439" s="186"/>
      <c r="E439" s="187"/>
      <c r="F439" s="187"/>
      <c r="G439" s="187"/>
      <c r="H439" s="187"/>
    </row>
    <row r="440" spans="1:8" ht="15">
      <c r="A440" s="186"/>
      <c r="B440" s="186"/>
      <c r="C440" s="186"/>
      <c r="D440" s="186"/>
      <c r="E440" s="187"/>
      <c r="F440" s="187"/>
      <c r="G440" s="187"/>
      <c r="H440" s="187"/>
    </row>
    <row r="441" spans="1:8" ht="15">
      <c r="A441" s="186"/>
      <c r="B441" s="186"/>
      <c r="C441" s="186"/>
      <c r="D441" s="186"/>
      <c r="E441" s="187"/>
      <c r="F441" s="187"/>
      <c r="G441" s="187"/>
      <c r="H441" s="187"/>
    </row>
    <row r="442" spans="1:8" ht="15">
      <c r="A442" s="186"/>
      <c r="B442" s="186"/>
      <c r="C442" s="186"/>
      <c r="D442" s="186"/>
      <c r="E442" s="187"/>
      <c r="F442" s="187"/>
      <c r="G442" s="187"/>
      <c r="H442" s="187"/>
    </row>
    <row r="443" spans="1:8" ht="15">
      <c r="A443" s="186"/>
      <c r="B443" s="186"/>
      <c r="C443" s="186"/>
      <c r="D443" s="186"/>
      <c r="E443" s="187"/>
      <c r="F443" s="187"/>
      <c r="G443" s="187"/>
      <c r="H443" s="187"/>
    </row>
    <row r="444" spans="1:8" ht="15">
      <c r="A444" s="186"/>
      <c r="B444" s="186"/>
      <c r="C444" s="186"/>
      <c r="D444" s="186"/>
      <c r="E444" s="187"/>
      <c r="F444" s="187"/>
      <c r="G444" s="187"/>
      <c r="H444" s="187"/>
    </row>
    <row r="445" spans="1:8" ht="15">
      <c r="A445" s="186"/>
      <c r="B445" s="186"/>
      <c r="C445" s="186"/>
      <c r="D445" s="186"/>
      <c r="E445" s="187"/>
      <c r="F445" s="187"/>
      <c r="G445" s="187"/>
      <c r="H445" s="187"/>
    </row>
    <row r="446" spans="1:8" ht="15">
      <c r="A446" s="186"/>
      <c r="B446" s="186"/>
      <c r="C446" s="186"/>
      <c r="D446" s="186"/>
      <c r="E446" s="187"/>
      <c r="F446" s="187"/>
      <c r="G446" s="187"/>
      <c r="H446" s="187"/>
    </row>
    <row r="447" spans="1:8" ht="15">
      <c r="A447" s="186"/>
      <c r="B447" s="186"/>
      <c r="C447" s="186"/>
      <c r="D447" s="186"/>
      <c r="E447" s="187"/>
      <c r="F447" s="187"/>
      <c r="G447" s="187"/>
      <c r="H447" s="187"/>
    </row>
    <row r="448" spans="1:8" ht="15">
      <c r="A448" s="186"/>
      <c r="B448" s="186"/>
      <c r="C448" s="186"/>
      <c r="D448" s="186"/>
      <c r="E448" s="187"/>
      <c r="F448" s="187"/>
      <c r="G448" s="187"/>
      <c r="H448" s="187"/>
    </row>
    <row r="449" spans="1:8" ht="15">
      <c r="A449" s="186"/>
      <c r="B449" s="186"/>
      <c r="C449" s="186"/>
      <c r="D449" s="186"/>
      <c r="E449" s="187"/>
      <c r="F449" s="187"/>
      <c r="G449" s="187"/>
      <c r="H449" s="187"/>
    </row>
    <row r="450" spans="1:8" ht="15">
      <c r="A450" s="186"/>
      <c r="B450" s="186"/>
      <c r="C450" s="186"/>
      <c r="D450" s="186"/>
      <c r="E450" s="187"/>
      <c r="F450" s="187"/>
      <c r="G450" s="187"/>
      <c r="H450" s="187"/>
    </row>
    <row r="451" spans="1:8" ht="15">
      <c r="A451" s="186"/>
      <c r="B451" s="186"/>
      <c r="C451" s="186"/>
      <c r="D451" s="186"/>
      <c r="E451" s="187"/>
      <c r="F451" s="187"/>
      <c r="G451" s="187"/>
      <c r="H451" s="187"/>
    </row>
    <row r="452" spans="1:8" ht="15">
      <c r="A452" s="186"/>
      <c r="B452" s="186"/>
      <c r="C452" s="186"/>
      <c r="D452" s="186"/>
      <c r="E452" s="187"/>
      <c r="F452" s="187"/>
      <c r="G452" s="187"/>
      <c r="H452" s="187"/>
    </row>
    <row r="453" spans="1:8" ht="15">
      <c r="A453" s="186"/>
      <c r="B453" s="186"/>
      <c r="C453" s="186"/>
      <c r="D453" s="186"/>
      <c r="E453" s="187"/>
      <c r="F453" s="187"/>
      <c r="G453" s="187"/>
      <c r="H453" s="187"/>
    </row>
    <row r="454" spans="1:8" ht="15">
      <c r="A454" s="186"/>
      <c r="B454" s="186"/>
      <c r="C454" s="186"/>
      <c r="D454" s="186"/>
      <c r="E454" s="187"/>
      <c r="F454" s="187"/>
      <c r="G454" s="187"/>
      <c r="H454" s="187"/>
    </row>
    <row r="455" spans="1:8" ht="15">
      <c r="A455" s="186"/>
      <c r="B455" s="186"/>
      <c r="C455" s="186"/>
      <c r="D455" s="186"/>
      <c r="E455" s="187"/>
      <c r="F455" s="187"/>
      <c r="G455" s="187"/>
      <c r="H455" s="187"/>
    </row>
    <row r="456" spans="1:8" ht="15">
      <c r="A456" s="186"/>
      <c r="B456" s="186"/>
      <c r="C456" s="186"/>
      <c r="D456" s="186"/>
      <c r="E456" s="187"/>
      <c r="F456" s="187"/>
      <c r="G456" s="187"/>
      <c r="H456" s="187"/>
    </row>
    <row r="457" spans="1:8" ht="15">
      <c r="A457" s="186"/>
      <c r="B457" s="186"/>
      <c r="C457" s="186"/>
      <c r="D457" s="186"/>
      <c r="E457" s="187"/>
      <c r="F457" s="187"/>
      <c r="G457" s="187"/>
      <c r="H457" s="187"/>
    </row>
    <row r="458" spans="1:8" ht="15">
      <c r="A458" s="186"/>
      <c r="B458" s="186"/>
      <c r="C458" s="186"/>
      <c r="D458" s="186"/>
      <c r="E458" s="187"/>
      <c r="F458" s="187"/>
      <c r="G458" s="187"/>
      <c r="H458" s="187"/>
    </row>
    <row r="459" spans="1:8" ht="15">
      <c r="A459" s="186"/>
      <c r="B459" s="186"/>
      <c r="C459" s="186"/>
      <c r="D459" s="186"/>
      <c r="E459" s="187"/>
      <c r="F459" s="187"/>
      <c r="G459" s="187"/>
      <c r="H459" s="187"/>
    </row>
    <row r="460" spans="1:8" ht="15">
      <c r="A460" s="186"/>
      <c r="B460" s="186"/>
      <c r="C460" s="186"/>
      <c r="D460" s="186"/>
      <c r="E460" s="187"/>
      <c r="F460" s="187"/>
      <c r="G460" s="187"/>
      <c r="H460" s="187"/>
    </row>
    <row r="461" spans="1:8" ht="15">
      <c r="A461" s="186"/>
      <c r="B461" s="186"/>
      <c r="C461" s="186"/>
      <c r="D461" s="186"/>
      <c r="E461" s="187"/>
      <c r="F461" s="187"/>
      <c r="G461" s="187"/>
      <c r="H461" s="187"/>
    </row>
    <row r="462" spans="1:8" ht="15">
      <c r="A462" s="186"/>
      <c r="B462" s="186"/>
      <c r="C462" s="186"/>
      <c r="D462" s="186"/>
      <c r="E462" s="187"/>
      <c r="F462" s="187"/>
      <c r="G462" s="187"/>
      <c r="H462" s="187"/>
    </row>
  </sheetData>
  <sheetProtection/>
  <mergeCells count="2">
    <mergeCell ref="A1:C1"/>
    <mergeCell ref="A3:E3"/>
  </mergeCells>
  <printOptions/>
  <pageMargins left="0.66" right="0.1968503937007874" top="0.2362204724409449" bottom="0.2362204724409449" header="0.03937007874015748" footer="0.07874015748031496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15"/>
  <sheetViews>
    <sheetView zoomScale="80" zoomScaleNormal="80" zoomScaleSheetLayoutView="100" zoomScalePageLayoutView="0" workbookViewId="0" topLeftCell="A246">
      <selection activeCell="L298" sqref="L298"/>
    </sheetView>
  </sheetViews>
  <sheetFormatPr defaultColWidth="9.140625" defaultRowHeight="12.75"/>
  <cols>
    <col min="1" max="1" width="13.7109375" style="196" customWidth="1"/>
    <col min="2" max="2" width="10.8515625" style="196" bestFit="1" customWidth="1"/>
    <col min="3" max="3" width="79.7109375" style="196" customWidth="1"/>
    <col min="4" max="4" width="15.7109375" style="196" customWidth="1"/>
    <col min="5" max="6" width="15.8515625" style="196" customWidth="1"/>
    <col min="7" max="7" width="13.28125" style="196" customWidth="1"/>
    <col min="8" max="16384" width="9.140625" style="196" customWidth="1"/>
  </cols>
  <sheetData>
    <row r="1" spans="1:7" ht="21" customHeight="1">
      <c r="A1" s="45" t="s">
        <v>302</v>
      </c>
      <c r="B1" s="46"/>
      <c r="C1" s="193"/>
      <c r="D1" s="194"/>
      <c r="E1" s="195"/>
      <c r="F1" s="195"/>
      <c r="G1" s="195"/>
    </row>
    <row r="2" spans="1:5" ht="15.75" customHeight="1">
      <c r="A2" s="45"/>
      <c r="B2" s="46"/>
      <c r="C2" s="197"/>
      <c r="E2" s="198"/>
    </row>
    <row r="3" spans="1:7" s="203" customFormat="1" ht="24" customHeight="1">
      <c r="A3" s="199" t="s">
        <v>303</v>
      </c>
      <c r="B3" s="199"/>
      <c r="C3" s="199"/>
      <c r="D3" s="200"/>
      <c r="E3" s="201"/>
      <c r="F3" s="202"/>
      <c r="G3" s="202"/>
    </row>
    <row r="4" spans="4:7" s="186" customFormat="1" ht="15.75" customHeight="1" thickBot="1">
      <c r="D4" s="204"/>
      <c r="E4" s="205"/>
      <c r="F4" s="202" t="s">
        <v>26</v>
      </c>
      <c r="G4" s="204"/>
    </row>
    <row r="5" spans="1:7" s="186" customFormat="1" ht="15.75" customHeight="1">
      <c r="A5" s="206" t="s">
        <v>27</v>
      </c>
      <c r="B5" s="207" t="s">
        <v>28</v>
      </c>
      <c r="C5" s="206" t="s">
        <v>30</v>
      </c>
      <c r="D5" s="206" t="s">
        <v>31</v>
      </c>
      <c r="E5" s="206" t="s">
        <v>31</v>
      </c>
      <c r="F5" s="54" t="s">
        <v>8</v>
      </c>
      <c r="G5" s="206" t="s">
        <v>304</v>
      </c>
    </row>
    <row r="6" spans="1:7" s="186" customFormat="1" ht="15.75" customHeight="1" thickBot="1">
      <c r="A6" s="208"/>
      <c r="B6" s="209"/>
      <c r="C6" s="210"/>
      <c r="D6" s="211" t="s">
        <v>33</v>
      </c>
      <c r="E6" s="211" t="s">
        <v>34</v>
      </c>
      <c r="F6" s="58" t="s">
        <v>35</v>
      </c>
      <c r="G6" s="211" t="s">
        <v>305</v>
      </c>
    </row>
    <row r="7" spans="1:7" s="186" customFormat="1" ht="16.5" customHeight="1" thickTop="1">
      <c r="A7" s="212">
        <v>10</v>
      </c>
      <c r="B7" s="213"/>
      <c r="C7" s="214" t="s">
        <v>306</v>
      </c>
      <c r="D7" s="215"/>
      <c r="E7" s="216"/>
      <c r="F7" s="217"/>
      <c r="G7" s="215"/>
    </row>
    <row r="8" spans="1:7" s="186" customFormat="1" ht="15" customHeight="1">
      <c r="A8" s="141"/>
      <c r="B8" s="218"/>
      <c r="C8" s="141"/>
      <c r="D8" s="145"/>
      <c r="E8" s="146"/>
      <c r="F8" s="144"/>
      <c r="G8" s="145"/>
    </row>
    <row r="9" spans="1:7" s="186" customFormat="1" ht="15" customHeight="1">
      <c r="A9" s="141"/>
      <c r="B9" s="219">
        <v>2143</v>
      </c>
      <c r="C9" s="147" t="s">
        <v>307</v>
      </c>
      <c r="D9" s="145">
        <v>4000</v>
      </c>
      <c r="E9" s="146">
        <v>3996</v>
      </c>
      <c r="F9" s="144">
        <v>980</v>
      </c>
      <c r="G9" s="145">
        <f>(F9/E9)*100</f>
        <v>24.524524524524523</v>
      </c>
    </row>
    <row r="10" spans="1:7" s="186" customFormat="1" ht="15">
      <c r="A10" s="147"/>
      <c r="B10" s="219">
        <v>3111</v>
      </c>
      <c r="C10" s="147" t="s">
        <v>308</v>
      </c>
      <c r="D10" s="220">
        <v>8600</v>
      </c>
      <c r="E10" s="221">
        <v>8600.2</v>
      </c>
      <c r="F10" s="222">
        <v>2864.1</v>
      </c>
      <c r="G10" s="145">
        <f aca="true" t="shared" si="0" ref="G10:G32">(F10/E10)*100</f>
        <v>33.30271389037464</v>
      </c>
    </row>
    <row r="11" spans="1:7" s="186" customFormat="1" ht="15">
      <c r="A11" s="147"/>
      <c r="B11" s="219">
        <v>3113</v>
      </c>
      <c r="C11" s="147" t="s">
        <v>309</v>
      </c>
      <c r="D11" s="220">
        <v>30300</v>
      </c>
      <c r="E11" s="221">
        <v>31859.9</v>
      </c>
      <c r="F11" s="222">
        <v>11655.8</v>
      </c>
      <c r="G11" s="145">
        <f t="shared" si="0"/>
        <v>36.584546718602375</v>
      </c>
    </row>
    <row r="12" spans="1:7" s="186" customFormat="1" ht="15" hidden="1">
      <c r="A12" s="147"/>
      <c r="B12" s="219">
        <v>3114</v>
      </c>
      <c r="C12" s="147" t="s">
        <v>310</v>
      </c>
      <c r="D12" s="220"/>
      <c r="E12" s="221"/>
      <c r="F12" s="222"/>
      <c r="G12" s="145" t="e">
        <f t="shared" si="0"/>
        <v>#DIV/0!</v>
      </c>
    </row>
    <row r="13" spans="1:7" s="186" customFormat="1" ht="15">
      <c r="A13" s="147"/>
      <c r="B13" s="219">
        <v>3122</v>
      </c>
      <c r="C13" s="147" t="s">
        <v>311</v>
      </c>
      <c r="D13" s="220">
        <v>350</v>
      </c>
      <c r="E13" s="221">
        <v>350</v>
      </c>
      <c r="F13" s="222">
        <v>350</v>
      </c>
      <c r="G13" s="145">
        <f t="shared" si="0"/>
        <v>100</v>
      </c>
    </row>
    <row r="14" spans="1:7" s="186" customFormat="1" ht="15">
      <c r="A14" s="147"/>
      <c r="B14" s="219">
        <v>3231</v>
      </c>
      <c r="C14" s="147" t="s">
        <v>312</v>
      </c>
      <c r="D14" s="220">
        <v>780</v>
      </c>
      <c r="E14" s="221">
        <v>505</v>
      </c>
      <c r="F14" s="222">
        <v>346</v>
      </c>
      <c r="G14" s="145">
        <f t="shared" si="0"/>
        <v>68.51485148514853</v>
      </c>
    </row>
    <row r="15" spans="1:7" s="186" customFormat="1" ht="15">
      <c r="A15" s="147"/>
      <c r="B15" s="219">
        <v>3313</v>
      </c>
      <c r="C15" s="147" t="s">
        <v>313</v>
      </c>
      <c r="D15" s="145">
        <v>1460</v>
      </c>
      <c r="E15" s="146">
        <v>1460</v>
      </c>
      <c r="F15" s="144">
        <v>558.7</v>
      </c>
      <c r="G15" s="145">
        <f t="shared" si="0"/>
        <v>38.26712328767123</v>
      </c>
    </row>
    <row r="16" spans="1:7" s="186" customFormat="1" ht="15" customHeight="1" hidden="1">
      <c r="A16" s="147"/>
      <c r="B16" s="219">
        <v>3314</v>
      </c>
      <c r="C16" s="147" t="s">
        <v>314</v>
      </c>
      <c r="D16" s="145"/>
      <c r="E16" s="146"/>
      <c r="F16" s="144"/>
      <c r="G16" s="145" t="e">
        <f t="shared" si="0"/>
        <v>#DIV/0!</v>
      </c>
    </row>
    <row r="17" spans="1:7" s="186" customFormat="1" ht="15">
      <c r="A17" s="147"/>
      <c r="B17" s="219">
        <v>3314</v>
      </c>
      <c r="C17" s="147" t="s">
        <v>315</v>
      </c>
      <c r="D17" s="145">
        <v>7040</v>
      </c>
      <c r="E17" s="146">
        <v>7040</v>
      </c>
      <c r="F17" s="144">
        <v>2344</v>
      </c>
      <c r="G17" s="145">
        <f t="shared" si="0"/>
        <v>33.29545454545455</v>
      </c>
    </row>
    <row r="18" spans="1:7" s="186" customFormat="1" ht="13.5" customHeight="1" hidden="1">
      <c r="A18" s="147"/>
      <c r="B18" s="219">
        <v>3315</v>
      </c>
      <c r="C18" s="147" t="s">
        <v>316</v>
      </c>
      <c r="D18" s="145"/>
      <c r="E18" s="146"/>
      <c r="F18" s="144"/>
      <c r="G18" s="145" t="e">
        <f t="shared" si="0"/>
        <v>#DIV/0!</v>
      </c>
    </row>
    <row r="19" spans="1:7" s="186" customFormat="1" ht="15">
      <c r="A19" s="147"/>
      <c r="B19" s="219">
        <v>3315</v>
      </c>
      <c r="C19" s="147" t="s">
        <v>317</v>
      </c>
      <c r="D19" s="145">
        <v>6850</v>
      </c>
      <c r="E19" s="146">
        <v>7023</v>
      </c>
      <c r="F19" s="144">
        <v>2280</v>
      </c>
      <c r="G19" s="145">
        <f t="shared" si="0"/>
        <v>32.46475865014951</v>
      </c>
    </row>
    <row r="20" spans="1:7" s="186" customFormat="1" ht="15">
      <c r="A20" s="147"/>
      <c r="B20" s="219">
        <v>3319</v>
      </c>
      <c r="C20" s="147" t="s">
        <v>318</v>
      </c>
      <c r="D20" s="145">
        <v>620</v>
      </c>
      <c r="E20" s="146">
        <v>620</v>
      </c>
      <c r="F20" s="144">
        <v>189.5</v>
      </c>
      <c r="G20" s="145">
        <f t="shared" si="0"/>
        <v>30.56451612903226</v>
      </c>
    </row>
    <row r="21" spans="1:7" s="186" customFormat="1" ht="15">
      <c r="A21" s="147"/>
      <c r="B21" s="219">
        <v>3322</v>
      </c>
      <c r="C21" s="147" t="s">
        <v>319</v>
      </c>
      <c r="D21" s="145">
        <v>50</v>
      </c>
      <c r="E21" s="146">
        <v>50</v>
      </c>
      <c r="F21" s="144">
        <v>0</v>
      </c>
      <c r="G21" s="145">
        <f t="shared" si="0"/>
        <v>0</v>
      </c>
    </row>
    <row r="22" spans="1:7" s="186" customFormat="1" ht="15">
      <c r="A22" s="147"/>
      <c r="B22" s="219">
        <v>3326</v>
      </c>
      <c r="C22" s="147" t="s">
        <v>320</v>
      </c>
      <c r="D22" s="145">
        <v>60</v>
      </c>
      <c r="E22" s="146">
        <v>60</v>
      </c>
      <c r="F22" s="144">
        <v>0</v>
      </c>
      <c r="G22" s="145">
        <f t="shared" si="0"/>
        <v>0</v>
      </c>
    </row>
    <row r="23" spans="1:7" s="186" customFormat="1" ht="15">
      <c r="A23" s="147"/>
      <c r="B23" s="219">
        <v>3330</v>
      </c>
      <c r="C23" s="147" t="s">
        <v>321</v>
      </c>
      <c r="D23" s="145">
        <v>50</v>
      </c>
      <c r="E23" s="146">
        <v>50</v>
      </c>
      <c r="F23" s="144">
        <v>0</v>
      </c>
      <c r="G23" s="145">
        <f t="shared" si="0"/>
        <v>0</v>
      </c>
    </row>
    <row r="24" spans="1:7" s="186" customFormat="1" ht="15">
      <c r="A24" s="147"/>
      <c r="B24" s="219">
        <v>3392</v>
      </c>
      <c r="C24" s="147" t="s">
        <v>322</v>
      </c>
      <c r="D24" s="145">
        <v>800</v>
      </c>
      <c r="E24" s="146">
        <v>800</v>
      </c>
      <c r="F24" s="144">
        <v>377.8</v>
      </c>
      <c r="G24" s="145">
        <f t="shared" si="0"/>
        <v>47.225</v>
      </c>
    </row>
    <row r="25" spans="1:7" s="186" customFormat="1" ht="15">
      <c r="A25" s="147"/>
      <c r="B25" s="219">
        <v>3399</v>
      </c>
      <c r="C25" s="147" t="s">
        <v>323</v>
      </c>
      <c r="D25" s="145">
        <v>2700</v>
      </c>
      <c r="E25" s="146">
        <v>2563.8</v>
      </c>
      <c r="F25" s="144">
        <v>552.7</v>
      </c>
      <c r="G25" s="145">
        <f t="shared" si="0"/>
        <v>21.557843825571418</v>
      </c>
    </row>
    <row r="26" spans="1:7" s="186" customFormat="1" ht="15">
      <c r="A26" s="147"/>
      <c r="B26" s="219">
        <v>3412</v>
      </c>
      <c r="C26" s="147" t="s">
        <v>324</v>
      </c>
      <c r="D26" s="145">
        <v>13438</v>
      </c>
      <c r="E26" s="146">
        <v>13438</v>
      </c>
      <c r="F26" s="144">
        <v>5068.5</v>
      </c>
      <c r="G26" s="145">
        <f t="shared" si="0"/>
        <v>37.71766631939277</v>
      </c>
    </row>
    <row r="27" spans="1:7" s="186" customFormat="1" ht="15">
      <c r="A27" s="147"/>
      <c r="B27" s="219">
        <v>3412</v>
      </c>
      <c r="C27" s="147" t="s">
        <v>325</v>
      </c>
      <c r="D27" s="145">
        <f>20284-13438</f>
        <v>6846</v>
      </c>
      <c r="E27" s="146">
        <f>20390-13438</f>
        <v>6952</v>
      </c>
      <c r="F27" s="144">
        <f>6342.3-5068.5</f>
        <v>1273.8000000000002</v>
      </c>
      <c r="G27" s="145">
        <f t="shared" si="0"/>
        <v>18.322784810126585</v>
      </c>
    </row>
    <row r="28" spans="1:7" s="186" customFormat="1" ht="15">
      <c r="A28" s="147"/>
      <c r="B28" s="219">
        <v>3419</v>
      </c>
      <c r="C28" s="147" t="s">
        <v>326</v>
      </c>
      <c r="D28" s="220">
        <v>2050</v>
      </c>
      <c r="E28" s="221">
        <v>1942</v>
      </c>
      <c r="F28" s="222">
        <v>705</v>
      </c>
      <c r="G28" s="145">
        <f t="shared" si="0"/>
        <v>36.30278063851699</v>
      </c>
    </row>
    <row r="29" spans="1:7" s="186" customFormat="1" ht="15">
      <c r="A29" s="147"/>
      <c r="B29" s="219">
        <v>3421</v>
      </c>
      <c r="C29" s="147" t="s">
        <v>327</v>
      </c>
      <c r="D29" s="220">
        <v>3116</v>
      </c>
      <c r="E29" s="221">
        <v>3154</v>
      </c>
      <c r="F29" s="222">
        <v>714.5</v>
      </c>
      <c r="G29" s="145">
        <f t="shared" si="0"/>
        <v>22.653772986683578</v>
      </c>
    </row>
    <row r="30" spans="1:7" s="186" customFormat="1" ht="15">
      <c r="A30" s="147"/>
      <c r="B30" s="219">
        <v>3429</v>
      </c>
      <c r="C30" s="147" t="s">
        <v>328</v>
      </c>
      <c r="D30" s="220">
        <v>1500</v>
      </c>
      <c r="E30" s="221">
        <v>1600</v>
      </c>
      <c r="F30" s="222">
        <v>654</v>
      </c>
      <c r="G30" s="145">
        <f t="shared" si="0"/>
        <v>40.875</v>
      </c>
    </row>
    <row r="31" spans="1:7" s="186" customFormat="1" ht="15">
      <c r="A31" s="147"/>
      <c r="B31" s="219">
        <v>6223</v>
      </c>
      <c r="C31" s="147" t="s">
        <v>329</v>
      </c>
      <c r="D31" s="145">
        <v>150</v>
      </c>
      <c r="E31" s="146">
        <v>150</v>
      </c>
      <c r="F31" s="144">
        <v>0</v>
      </c>
      <c r="G31" s="145">
        <f t="shared" si="0"/>
        <v>0</v>
      </c>
    </row>
    <row r="32" spans="1:7" s="186" customFormat="1" ht="15">
      <c r="A32" s="147"/>
      <c r="B32" s="219">
        <v>6409</v>
      </c>
      <c r="C32" s="147" t="s">
        <v>330</v>
      </c>
      <c r="D32" s="145">
        <v>1000</v>
      </c>
      <c r="E32" s="146">
        <v>1172</v>
      </c>
      <c r="F32" s="144">
        <v>0</v>
      </c>
      <c r="G32" s="145">
        <f t="shared" si="0"/>
        <v>0</v>
      </c>
    </row>
    <row r="33" spans="1:7" s="186" customFormat="1" ht="14.25" customHeight="1" thickBot="1">
      <c r="A33" s="223"/>
      <c r="B33" s="224"/>
      <c r="C33" s="225"/>
      <c r="D33" s="226"/>
      <c r="E33" s="227"/>
      <c r="F33" s="228"/>
      <c r="G33" s="226"/>
    </row>
    <row r="34" spans="1:7" s="186" customFormat="1" ht="18.75" customHeight="1" thickBot="1" thickTop="1">
      <c r="A34" s="229"/>
      <c r="B34" s="230"/>
      <c r="C34" s="231" t="s">
        <v>331</v>
      </c>
      <c r="D34" s="232">
        <f>SUM(D9:D33)</f>
        <v>91760</v>
      </c>
      <c r="E34" s="233">
        <f>SUM(E9:E33)</f>
        <v>93385.90000000001</v>
      </c>
      <c r="F34" s="234">
        <f>SUM(F9:F33)</f>
        <v>30914.399999999998</v>
      </c>
      <c r="G34" s="232">
        <f>(F34/E34)*100</f>
        <v>33.10392682407087</v>
      </c>
    </row>
    <row r="35" spans="1:7" s="186" customFormat="1" ht="15.75" customHeight="1">
      <c r="A35" s="185"/>
      <c r="B35" s="188"/>
      <c r="C35" s="235"/>
      <c r="D35" s="236"/>
      <c r="E35" s="236"/>
      <c r="F35" s="236"/>
      <c r="G35" s="236"/>
    </row>
    <row r="36" spans="1:7" s="186" customFormat="1" ht="18.75" customHeight="1" hidden="1">
      <c r="A36" s="185"/>
      <c r="B36" s="188"/>
      <c r="C36" s="235"/>
      <c r="D36" s="236"/>
      <c r="E36" s="236"/>
      <c r="F36" s="236"/>
      <c r="G36" s="236"/>
    </row>
    <row r="37" spans="1:7" s="186" customFormat="1" ht="18.75" customHeight="1" hidden="1">
      <c r="A37" s="185"/>
      <c r="B37" s="188"/>
      <c r="C37" s="235"/>
      <c r="D37" s="236"/>
      <c r="E37" s="236"/>
      <c r="F37" s="236"/>
      <c r="G37" s="236"/>
    </row>
    <row r="38" spans="1:7" s="186" customFormat="1" ht="15.75" customHeight="1">
      <c r="A38" s="185"/>
      <c r="B38" s="188"/>
      <c r="C38" s="235"/>
      <c r="D38" s="236"/>
      <c r="E38" s="236"/>
      <c r="F38" s="236"/>
      <c r="G38" s="236"/>
    </row>
    <row r="39" spans="1:7" s="186" customFormat="1" ht="15.75" customHeight="1">
      <c r="A39" s="185"/>
      <c r="B39" s="188"/>
      <c r="C39" s="235"/>
      <c r="D39" s="237"/>
      <c r="E39" s="237"/>
      <c r="F39" s="237"/>
      <c r="G39" s="237"/>
    </row>
    <row r="40" spans="1:7" s="186" customFormat="1" ht="12.75" customHeight="1" hidden="1">
      <c r="A40" s="185"/>
      <c r="B40" s="188"/>
      <c r="C40" s="235"/>
      <c r="D40" s="237"/>
      <c r="E40" s="237"/>
      <c r="F40" s="237"/>
      <c r="G40" s="237"/>
    </row>
    <row r="41" spans="1:7" s="186" customFormat="1" ht="12.75" customHeight="1" hidden="1">
      <c r="A41" s="185"/>
      <c r="B41" s="188"/>
      <c r="C41" s="235"/>
      <c r="D41" s="237"/>
      <c r="E41" s="237"/>
      <c r="F41" s="237"/>
      <c r="G41" s="237"/>
    </row>
    <row r="42" s="186" customFormat="1" ht="15.75" customHeight="1" thickBot="1">
      <c r="B42" s="238"/>
    </row>
    <row r="43" spans="1:7" s="186" customFormat="1" ht="15.75">
      <c r="A43" s="206" t="s">
        <v>27</v>
      </c>
      <c r="B43" s="207" t="s">
        <v>28</v>
      </c>
      <c r="C43" s="206" t="s">
        <v>30</v>
      </c>
      <c r="D43" s="206" t="s">
        <v>31</v>
      </c>
      <c r="E43" s="206" t="s">
        <v>31</v>
      </c>
      <c r="F43" s="54" t="s">
        <v>8</v>
      </c>
      <c r="G43" s="206" t="s">
        <v>304</v>
      </c>
    </row>
    <row r="44" spans="1:7" s="186" customFormat="1" ht="15.75" customHeight="1" thickBot="1">
      <c r="A44" s="208"/>
      <c r="B44" s="209"/>
      <c r="C44" s="210"/>
      <c r="D44" s="211" t="s">
        <v>33</v>
      </c>
      <c r="E44" s="211" t="s">
        <v>34</v>
      </c>
      <c r="F44" s="58" t="s">
        <v>35</v>
      </c>
      <c r="G44" s="211" t="s">
        <v>305</v>
      </c>
    </row>
    <row r="45" spans="1:7" s="186" customFormat="1" ht="16.5" customHeight="1" thickTop="1">
      <c r="A45" s="212">
        <v>20</v>
      </c>
      <c r="B45" s="213"/>
      <c r="C45" s="60" t="s">
        <v>332</v>
      </c>
      <c r="D45" s="117"/>
      <c r="E45" s="115"/>
      <c r="F45" s="116"/>
      <c r="G45" s="117"/>
    </row>
    <row r="46" spans="1:7" s="186" customFormat="1" ht="15" customHeight="1">
      <c r="A46" s="141"/>
      <c r="B46" s="218"/>
      <c r="C46" s="60"/>
      <c r="D46" s="145"/>
      <c r="E46" s="146"/>
      <c r="F46" s="144"/>
      <c r="G46" s="145"/>
    </row>
    <row r="47" spans="1:7" s="186" customFormat="1" ht="15">
      <c r="A47" s="147"/>
      <c r="B47" s="219">
        <v>2212</v>
      </c>
      <c r="C47" s="148" t="s">
        <v>333</v>
      </c>
      <c r="D47" s="100">
        <f>23284-12267</f>
        <v>11017</v>
      </c>
      <c r="E47" s="66">
        <f>26311-12267</f>
        <v>14044</v>
      </c>
      <c r="F47" s="67">
        <f>2908.8-65.3</f>
        <v>2843.5</v>
      </c>
      <c r="G47" s="145">
        <f aca="true" t="shared" si="1" ref="G47:G110">(F47/E47)*100</f>
        <v>20.247080603816574</v>
      </c>
    </row>
    <row r="48" spans="1:7" s="186" customFormat="1" ht="15" customHeight="1">
      <c r="A48" s="147"/>
      <c r="B48" s="219">
        <v>2219</v>
      </c>
      <c r="C48" s="148" t="s">
        <v>334</v>
      </c>
      <c r="D48" s="100">
        <f>18169-2500-7839</f>
        <v>7830</v>
      </c>
      <c r="E48" s="66">
        <f>19414.8-2500-8795</f>
        <v>8119.799999999999</v>
      </c>
      <c r="F48" s="67">
        <f>2108.8-0-642.5</f>
        <v>1466.3000000000002</v>
      </c>
      <c r="G48" s="145">
        <f t="shared" si="1"/>
        <v>18.058326559767483</v>
      </c>
    </row>
    <row r="49" spans="1:7" s="186" customFormat="1" ht="15">
      <c r="A49" s="147"/>
      <c r="B49" s="219">
        <v>2221</v>
      </c>
      <c r="C49" s="148" t="s">
        <v>335</v>
      </c>
      <c r="D49" s="100">
        <f>65450-65350</f>
        <v>100</v>
      </c>
      <c r="E49" s="66">
        <f>65531.2-41777.5-23650</f>
        <v>103.69999999999709</v>
      </c>
      <c r="F49" s="67">
        <f>415.5-311.1-104.4</f>
        <v>0</v>
      </c>
      <c r="G49" s="145">
        <f t="shared" si="1"/>
        <v>0</v>
      </c>
    </row>
    <row r="50" spans="1:7" s="186" customFormat="1" ht="15">
      <c r="A50" s="147"/>
      <c r="B50" s="219">
        <v>2229</v>
      </c>
      <c r="C50" s="148" t="s">
        <v>336</v>
      </c>
      <c r="D50" s="100">
        <v>10</v>
      </c>
      <c r="E50" s="66">
        <v>10</v>
      </c>
      <c r="F50" s="67">
        <v>0</v>
      </c>
      <c r="G50" s="145">
        <f t="shared" si="1"/>
        <v>0</v>
      </c>
    </row>
    <row r="51" spans="1:7" s="186" customFormat="1" ht="15" hidden="1">
      <c r="A51" s="147"/>
      <c r="B51" s="219">
        <v>2241</v>
      </c>
      <c r="C51" s="148" t="s">
        <v>337</v>
      </c>
      <c r="D51" s="100"/>
      <c r="E51" s="66"/>
      <c r="F51" s="67"/>
      <c r="G51" s="145" t="e">
        <f t="shared" si="1"/>
        <v>#DIV/0!</v>
      </c>
    </row>
    <row r="52" spans="1:7" s="186" customFormat="1" ht="15" hidden="1">
      <c r="A52" s="147"/>
      <c r="B52" s="219">
        <v>2310</v>
      </c>
      <c r="C52" s="148" t="s">
        <v>338</v>
      </c>
      <c r="D52" s="100"/>
      <c r="E52" s="66"/>
      <c r="F52" s="67"/>
      <c r="G52" s="145" t="e">
        <f t="shared" si="1"/>
        <v>#DIV/0!</v>
      </c>
    </row>
    <row r="53" spans="1:7" s="186" customFormat="1" ht="15">
      <c r="A53" s="147"/>
      <c r="B53" s="219">
        <v>2321</v>
      </c>
      <c r="C53" s="148" t="s">
        <v>339</v>
      </c>
      <c r="D53" s="100">
        <v>50</v>
      </c>
      <c r="E53" s="66">
        <v>50</v>
      </c>
      <c r="F53" s="67">
        <v>6.9</v>
      </c>
      <c r="G53" s="145">
        <f t="shared" si="1"/>
        <v>13.8</v>
      </c>
    </row>
    <row r="54" spans="1:7" s="186" customFormat="1" ht="15">
      <c r="A54" s="147"/>
      <c r="B54" s="219">
        <v>3111</v>
      </c>
      <c r="C54" s="239" t="s">
        <v>340</v>
      </c>
      <c r="D54" s="100">
        <f>10321-10321</f>
        <v>0</v>
      </c>
      <c r="E54" s="66">
        <f>11089.5-10321</f>
        <v>768.5</v>
      </c>
      <c r="F54" s="67">
        <f>272.2-170.3</f>
        <v>101.89999999999998</v>
      </c>
      <c r="G54" s="145">
        <f t="shared" si="1"/>
        <v>13.259596616785943</v>
      </c>
    </row>
    <row r="55" spans="1:7" s="186" customFormat="1" ht="15">
      <c r="A55" s="147"/>
      <c r="B55" s="219">
        <v>3113</v>
      </c>
      <c r="C55" s="239" t="s">
        <v>341</v>
      </c>
      <c r="D55" s="100">
        <f>11824-11824</f>
        <v>0</v>
      </c>
      <c r="E55" s="66">
        <f>12125.5-11824</f>
        <v>301.5</v>
      </c>
      <c r="F55" s="67">
        <f>283.4-114.1</f>
        <v>169.29999999999998</v>
      </c>
      <c r="G55" s="145">
        <f t="shared" si="1"/>
        <v>56.15257048092869</v>
      </c>
    </row>
    <row r="56" spans="1:7" s="191" customFormat="1" ht="15.75">
      <c r="A56" s="147"/>
      <c r="B56" s="219">
        <v>3231</v>
      </c>
      <c r="C56" s="148" t="s">
        <v>342</v>
      </c>
      <c r="D56" s="145">
        <v>0</v>
      </c>
      <c r="E56" s="146">
        <v>94.5</v>
      </c>
      <c r="F56" s="144">
        <v>18.2</v>
      </c>
      <c r="G56" s="145">
        <f t="shared" si="1"/>
        <v>19.25925925925926</v>
      </c>
    </row>
    <row r="57" spans="1:7" s="191" customFormat="1" ht="15.75">
      <c r="A57" s="147"/>
      <c r="B57" s="219">
        <v>3313</v>
      </c>
      <c r="C57" s="148" t="s">
        <v>343</v>
      </c>
      <c r="D57" s="145">
        <f>400-400</f>
        <v>0</v>
      </c>
      <c r="E57" s="146">
        <f>422.1-400</f>
        <v>22.100000000000023</v>
      </c>
      <c r="F57" s="144">
        <f>22-0</f>
        <v>22</v>
      </c>
      <c r="G57" s="145">
        <f t="shared" si="1"/>
        <v>99.5475113122171</v>
      </c>
    </row>
    <row r="58" spans="1:7" s="186" customFormat="1" ht="15">
      <c r="A58" s="147"/>
      <c r="B58" s="219">
        <v>3322</v>
      </c>
      <c r="C58" s="239" t="s">
        <v>344</v>
      </c>
      <c r="D58" s="100">
        <v>0</v>
      </c>
      <c r="E58" s="66">
        <v>8.3</v>
      </c>
      <c r="F58" s="67">
        <v>8.3</v>
      </c>
      <c r="G58" s="145">
        <f t="shared" si="1"/>
        <v>100</v>
      </c>
    </row>
    <row r="59" spans="1:7" s="186" customFormat="1" ht="15">
      <c r="A59" s="147"/>
      <c r="B59" s="219">
        <v>3326</v>
      </c>
      <c r="C59" s="239" t="s">
        <v>345</v>
      </c>
      <c r="D59" s="100">
        <v>0</v>
      </c>
      <c r="E59" s="66">
        <v>6.6</v>
      </c>
      <c r="F59" s="67">
        <v>6.5</v>
      </c>
      <c r="G59" s="145">
        <f t="shared" si="1"/>
        <v>98.48484848484848</v>
      </c>
    </row>
    <row r="60" spans="1:7" s="191" customFormat="1" ht="15.75">
      <c r="A60" s="147"/>
      <c r="B60" s="219">
        <v>3392</v>
      </c>
      <c r="C60" s="148" t="s">
        <v>346</v>
      </c>
      <c r="D60" s="145">
        <v>0</v>
      </c>
      <c r="E60" s="146">
        <v>170.8</v>
      </c>
      <c r="F60" s="144">
        <v>52.6</v>
      </c>
      <c r="G60" s="145">
        <f t="shared" si="1"/>
        <v>30.79625292740047</v>
      </c>
    </row>
    <row r="61" spans="1:7" s="186" customFormat="1" ht="15">
      <c r="A61" s="147"/>
      <c r="B61" s="219">
        <v>3412</v>
      </c>
      <c r="C61" s="239" t="s">
        <v>347</v>
      </c>
      <c r="D61" s="100">
        <v>0</v>
      </c>
      <c r="E61" s="66">
        <v>127.8</v>
      </c>
      <c r="F61" s="67">
        <v>127.8</v>
      </c>
      <c r="G61" s="145">
        <f t="shared" si="1"/>
        <v>100</v>
      </c>
    </row>
    <row r="62" spans="1:7" s="186" customFormat="1" ht="15">
      <c r="A62" s="147"/>
      <c r="B62" s="219">
        <v>3421</v>
      </c>
      <c r="C62" s="239" t="s">
        <v>348</v>
      </c>
      <c r="D62" s="100">
        <v>24</v>
      </c>
      <c r="E62" s="66">
        <v>99.2</v>
      </c>
      <c r="F62" s="67">
        <v>0</v>
      </c>
      <c r="G62" s="145">
        <f t="shared" si="1"/>
        <v>0</v>
      </c>
    </row>
    <row r="63" spans="1:7" s="186" customFormat="1" ht="15" hidden="1">
      <c r="A63" s="147"/>
      <c r="B63" s="219">
        <v>3612</v>
      </c>
      <c r="C63" s="239" t="s">
        <v>349</v>
      </c>
      <c r="D63" s="100"/>
      <c r="E63" s="66"/>
      <c r="F63" s="67"/>
      <c r="G63" s="145" t="e">
        <f t="shared" si="1"/>
        <v>#DIV/0!</v>
      </c>
    </row>
    <row r="64" spans="1:7" s="186" customFormat="1" ht="15">
      <c r="A64" s="147"/>
      <c r="B64" s="219">
        <v>3613</v>
      </c>
      <c r="C64" s="239" t="s">
        <v>350</v>
      </c>
      <c r="D64" s="100">
        <v>0</v>
      </c>
      <c r="E64" s="66">
        <v>42</v>
      </c>
      <c r="F64" s="67">
        <v>0</v>
      </c>
      <c r="G64" s="145">
        <f t="shared" si="1"/>
        <v>0</v>
      </c>
    </row>
    <row r="65" spans="1:7" s="186" customFormat="1" ht="15">
      <c r="A65" s="147"/>
      <c r="B65" s="219">
        <v>3631</v>
      </c>
      <c r="C65" s="239" t="s">
        <v>351</v>
      </c>
      <c r="D65" s="100">
        <v>7700</v>
      </c>
      <c r="E65" s="66">
        <v>7845</v>
      </c>
      <c r="F65" s="67">
        <v>3568.9</v>
      </c>
      <c r="G65" s="145">
        <f t="shared" si="1"/>
        <v>45.49267049075845</v>
      </c>
    </row>
    <row r="66" spans="1:7" s="191" customFormat="1" ht="15.75">
      <c r="A66" s="147"/>
      <c r="B66" s="219">
        <v>3632</v>
      </c>
      <c r="C66" s="148" t="s">
        <v>352</v>
      </c>
      <c r="D66" s="145">
        <v>0</v>
      </c>
      <c r="E66" s="146">
        <f>642-600</f>
        <v>42</v>
      </c>
      <c r="F66" s="144">
        <v>0</v>
      </c>
      <c r="G66" s="145">
        <f t="shared" si="1"/>
        <v>0</v>
      </c>
    </row>
    <row r="67" spans="1:7" s="186" customFormat="1" ht="15">
      <c r="A67" s="147"/>
      <c r="B67" s="219">
        <v>3635</v>
      </c>
      <c r="C67" s="239" t="s">
        <v>353</v>
      </c>
      <c r="D67" s="100">
        <f>3375-1405</f>
        <v>1970</v>
      </c>
      <c r="E67" s="66">
        <f>3076.2-1405</f>
        <v>1671.1999999999998</v>
      </c>
      <c r="F67" s="67">
        <f>25-0</f>
        <v>25</v>
      </c>
      <c r="G67" s="145">
        <f t="shared" si="1"/>
        <v>1.49593106749641</v>
      </c>
    </row>
    <row r="68" spans="1:7" s="191" customFormat="1" ht="15.75">
      <c r="A68" s="147"/>
      <c r="B68" s="219">
        <v>3639</v>
      </c>
      <c r="C68" s="148" t="s">
        <v>354</v>
      </c>
      <c r="D68" s="145">
        <v>216</v>
      </c>
      <c r="E68" s="146">
        <v>216</v>
      </c>
      <c r="F68" s="144">
        <v>0</v>
      </c>
      <c r="G68" s="145">
        <f t="shared" si="1"/>
        <v>0</v>
      </c>
    </row>
    <row r="69" spans="1:7" s="186" customFormat="1" ht="15">
      <c r="A69" s="147"/>
      <c r="B69" s="219">
        <v>3699</v>
      </c>
      <c r="C69" s="239" t="s">
        <v>355</v>
      </c>
      <c r="D69" s="113">
        <v>50</v>
      </c>
      <c r="E69" s="62">
        <v>105</v>
      </c>
      <c r="F69" s="63">
        <v>66.6</v>
      </c>
      <c r="G69" s="145">
        <f t="shared" si="1"/>
        <v>63.42857142857142</v>
      </c>
    </row>
    <row r="70" spans="1:7" s="186" customFormat="1" ht="15">
      <c r="A70" s="147"/>
      <c r="B70" s="219">
        <v>3722</v>
      </c>
      <c r="C70" s="239" t="s">
        <v>356</v>
      </c>
      <c r="D70" s="100">
        <v>21050</v>
      </c>
      <c r="E70" s="66">
        <v>21050</v>
      </c>
      <c r="F70" s="67">
        <v>6670.8</v>
      </c>
      <c r="G70" s="145">
        <f t="shared" si="1"/>
        <v>31.69026128266033</v>
      </c>
    </row>
    <row r="71" spans="1:7" s="191" customFormat="1" ht="15.75">
      <c r="A71" s="147"/>
      <c r="B71" s="219">
        <v>3726</v>
      </c>
      <c r="C71" s="148" t="s">
        <v>357</v>
      </c>
      <c r="D71" s="145">
        <v>0</v>
      </c>
      <c r="E71" s="146">
        <v>19</v>
      </c>
      <c r="F71" s="144">
        <v>0</v>
      </c>
      <c r="G71" s="145">
        <f t="shared" si="1"/>
        <v>0</v>
      </c>
    </row>
    <row r="72" spans="1:7" s="191" customFormat="1" ht="15.75">
      <c r="A72" s="147"/>
      <c r="B72" s="219">
        <v>3733</v>
      </c>
      <c r="C72" s="148" t="s">
        <v>358</v>
      </c>
      <c r="D72" s="145">
        <v>0</v>
      </c>
      <c r="E72" s="146">
        <v>30.8</v>
      </c>
      <c r="F72" s="144">
        <v>30.8</v>
      </c>
      <c r="G72" s="145">
        <f t="shared" si="1"/>
        <v>100</v>
      </c>
    </row>
    <row r="73" spans="1:7" s="191" customFormat="1" ht="15.75">
      <c r="A73" s="147"/>
      <c r="B73" s="219">
        <v>3745</v>
      </c>
      <c r="C73" s="148" t="s">
        <v>359</v>
      </c>
      <c r="D73" s="240">
        <v>19109</v>
      </c>
      <c r="E73" s="146">
        <f>22474.1</f>
        <v>22474.1</v>
      </c>
      <c r="F73" s="144">
        <v>4598.8</v>
      </c>
      <c r="G73" s="145">
        <f t="shared" si="1"/>
        <v>20.46266591320676</v>
      </c>
    </row>
    <row r="74" spans="1:7" s="191" customFormat="1" ht="15.75" hidden="1">
      <c r="A74" s="147"/>
      <c r="B74" s="219">
        <v>4349</v>
      </c>
      <c r="C74" s="148" t="s">
        <v>360</v>
      </c>
      <c r="D74" s="113"/>
      <c r="E74" s="62"/>
      <c r="F74" s="63"/>
      <c r="G74" s="145" t="e">
        <f t="shared" si="1"/>
        <v>#DIV/0!</v>
      </c>
    </row>
    <row r="75" spans="1:7" s="191" customFormat="1" ht="15.75">
      <c r="A75" s="88"/>
      <c r="B75" s="219">
        <v>4357</v>
      </c>
      <c r="C75" s="239" t="s">
        <v>361</v>
      </c>
      <c r="D75" s="113">
        <f>500-500</f>
        <v>0</v>
      </c>
      <c r="E75" s="62">
        <f>533.2-500</f>
        <v>33.200000000000045</v>
      </c>
      <c r="F75" s="63">
        <f>38.6-38.6</f>
        <v>0</v>
      </c>
      <c r="G75" s="145">
        <f t="shared" si="1"/>
        <v>0</v>
      </c>
    </row>
    <row r="76" spans="1:7" s="186" customFormat="1" ht="15" hidden="1">
      <c r="A76" s="88"/>
      <c r="B76" s="219">
        <v>5212</v>
      </c>
      <c r="C76" s="239" t="s">
        <v>362</v>
      </c>
      <c r="D76" s="113"/>
      <c r="E76" s="62"/>
      <c r="F76" s="63"/>
      <c r="G76" s="145" t="e">
        <f t="shared" si="1"/>
        <v>#DIV/0!</v>
      </c>
    </row>
    <row r="77" spans="1:7" s="186" customFormat="1" ht="15" hidden="1">
      <c r="A77" s="88"/>
      <c r="B77" s="219">
        <v>6223</v>
      </c>
      <c r="C77" s="239" t="s">
        <v>363</v>
      </c>
      <c r="D77" s="113"/>
      <c r="E77" s="62"/>
      <c r="F77" s="63"/>
      <c r="G77" s="145" t="e">
        <f t="shared" si="1"/>
        <v>#DIV/0!</v>
      </c>
    </row>
    <row r="78" spans="1:7" s="186" customFormat="1" ht="15">
      <c r="A78" s="88"/>
      <c r="B78" s="219">
        <v>6171</v>
      </c>
      <c r="C78" s="239" t="s">
        <v>364</v>
      </c>
      <c r="D78" s="113">
        <f>2700-2700</f>
        <v>0</v>
      </c>
      <c r="E78" s="62">
        <f>2756.2-2700</f>
        <v>56.19999999999982</v>
      </c>
      <c r="F78" s="63">
        <f>23-0</f>
        <v>23</v>
      </c>
      <c r="G78" s="145">
        <f t="shared" si="1"/>
        <v>40.925266903914725</v>
      </c>
    </row>
    <row r="79" spans="1:7" s="186" customFormat="1" ht="15">
      <c r="A79" s="88">
        <v>6409</v>
      </c>
      <c r="B79" s="219">
        <v>6409</v>
      </c>
      <c r="C79" s="239" t="s">
        <v>365</v>
      </c>
      <c r="D79" s="113">
        <v>2400</v>
      </c>
      <c r="E79" s="62">
        <v>1159.8</v>
      </c>
      <c r="F79" s="63">
        <v>0</v>
      </c>
      <c r="G79" s="145">
        <f t="shared" si="1"/>
        <v>0</v>
      </c>
    </row>
    <row r="80" spans="1:7" s="191" customFormat="1" ht="15.75">
      <c r="A80" s="214"/>
      <c r="B80" s="218"/>
      <c r="C80" s="241" t="s">
        <v>366</v>
      </c>
      <c r="D80" s="242">
        <f>SUM(D47:D79)</f>
        <v>71526</v>
      </c>
      <c r="E80" s="243">
        <f>SUM(E47:E79)</f>
        <v>78671.09999999999</v>
      </c>
      <c r="F80" s="244">
        <f>SUM(F47:F79)</f>
        <v>19807.2</v>
      </c>
      <c r="G80" s="145">
        <f t="shared" si="1"/>
        <v>25.177225181801198</v>
      </c>
    </row>
    <row r="81" spans="1:7" s="191" customFormat="1" ht="14.25" customHeight="1">
      <c r="A81" s="147"/>
      <c r="B81" s="219"/>
      <c r="C81" s="148"/>
      <c r="D81" s="245"/>
      <c r="E81" s="246"/>
      <c r="F81" s="247"/>
      <c r="G81" s="145"/>
    </row>
    <row r="82" spans="1:7" s="191" customFormat="1" ht="15.75">
      <c r="A82" s="147">
        <v>1028000000</v>
      </c>
      <c r="B82" s="219">
        <v>2212</v>
      </c>
      <c r="C82" s="248" t="s">
        <v>367</v>
      </c>
      <c r="D82" s="145">
        <v>6500</v>
      </c>
      <c r="E82" s="146">
        <v>6500</v>
      </c>
      <c r="F82" s="144">
        <v>65.4</v>
      </c>
      <c r="G82" s="145">
        <f t="shared" si="1"/>
        <v>1.0061538461538462</v>
      </c>
    </row>
    <row r="83" spans="1:7" s="191" customFormat="1" ht="15.75">
      <c r="A83" s="147">
        <v>1042000000</v>
      </c>
      <c r="B83" s="219">
        <v>2212</v>
      </c>
      <c r="C83" s="148" t="s">
        <v>368</v>
      </c>
      <c r="D83" s="145">
        <v>5767</v>
      </c>
      <c r="E83" s="146">
        <v>5767</v>
      </c>
      <c r="F83" s="144">
        <v>0</v>
      </c>
      <c r="G83" s="145">
        <f t="shared" si="1"/>
        <v>0</v>
      </c>
    </row>
    <row r="84" spans="1:7" s="191" customFormat="1" ht="15.75" hidden="1">
      <c r="A84" s="147"/>
      <c r="B84" s="219"/>
      <c r="C84" s="248"/>
      <c r="D84" s="145"/>
      <c r="E84" s="146"/>
      <c r="F84" s="144"/>
      <c r="G84" s="145" t="e">
        <f t="shared" si="1"/>
        <v>#DIV/0!</v>
      </c>
    </row>
    <row r="85" spans="1:7" s="191" customFormat="1" ht="15.75" hidden="1">
      <c r="A85" s="147"/>
      <c r="B85" s="219"/>
      <c r="C85" s="148"/>
      <c r="D85" s="145"/>
      <c r="E85" s="146"/>
      <c r="F85" s="144"/>
      <c r="G85" s="145" t="e">
        <f t="shared" si="1"/>
        <v>#DIV/0!</v>
      </c>
    </row>
    <row r="86" spans="1:7" s="191" customFormat="1" ht="15.75" hidden="1">
      <c r="A86" s="147"/>
      <c r="B86" s="219"/>
      <c r="C86" s="148"/>
      <c r="D86" s="145"/>
      <c r="E86" s="146"/>
      <c r="F86" s="144"/>
      <c r="G86" s="145" t="e">
        <f t="shared" si="1"/>
        <v>#DIV/0!</v>
      </c>
    </row>
    <row r="87" spans="1:7" s="191" customFormat="1" ht="15.75" hidden="1">
      <c r="A87" s="147"/>
      <c r="B87" s="219"/>
      <c r="C87" s="148"/>
      <c r="D87" s="145"/>
      <c r="E87" s="146"/>
      <c r="F87" s="144"/>
      <c r="G87" s="145" t="e">
        <f t="shared" si="1"/>
        <v>#DIV/0!</v>
      </c>
    </row>
    <row r="88" spans="1:7" s="191" customFormat="1" ht="15.75" hidden="1">
      <c r="A88" s="147"/>
      <c r="B88" s="219"/>
      <c r="C88" s="148"/>
      <c r="D88" s="145"/>
      <c r="E88" s="146"/>
      <c r="F88" s="144"/>
      <c r="G88" s="145" t="e">
        <f t="shared" si="1"/>
        <v>#DIV/0!</v>
      </c>
    </row>
    <row r="89" spans="1:7" s="191" customFormat="1" ht="15.75" customHeight="1" hidden="1">
      <c r="A89" s="147"/>
      <c r="B89" s="219"/>
      <c r="C89" s="249"/>
      <c r="D89" s="145"/>
      <c r="E89" s="146"/>
      <c r="F89" s="144"/>
      <c r="G89" s="145" t="e">
        <f t="shared" si="1"/>
        <v>#DIV/0!</v>
      </c>
    </row>
    <row r="90" spans="1:7" s="191" customFormat="1" ht="15.75">
      <c r="A90" s="147">
        <v>1026000000</v>
      </c>
      <c r="B90" s="219">
        <v>2219</v>
      </c>
      <c r="C90" s="148" t="s">
        <v>369</v>
      </c>
      <c r="D90" s="145">
        <v>0</v>
      </c>
      <c r="E90" s="146">
        <v>523</v>
      </c>
      <c r="F90" s="144">
        <v>466.7</v>
      </c>
      <c r="G90" s="145">
        <f t="shared" si="1"/>
        <v>89.23518164435946</v>
      </c>
    </row>
    <row r="91" spans="1:7" s="191" customFormat="1" ht="15.75" customHeight="1">
      <c r="A91" s="147">
        <v>1033000000</v>
      </c>
      <c r="B91" s="219">
        <v>2219</v>
      </c>
      <c r="C91" s="249" t="s">
        <v>370</v>
      </c>
      <c r="D91" s="145">
        <v>0</v>
      </c>
      <c r="E91" s="146">
        <v>110</v>
      </c>
      <c r="F91" s="144">
        <v>15</v>
      </c>
      <c r="G91" s="145">
        <f t="shared" si="1"/>
        <v>13.636363636363635</v>
      </c>
    </row>
    <row r="92" spans="1:7" s="191" customFormat="1" ht="15.75" customHeight="1">
      <c r="A92" s="147">
        <v>1037000000</v>
      </c>
      <c r="B92" s="219">
        <v>2219</v>
      </c>
      <c r="C92" s="249" t="s">
        <v>371</v>
      </c>
      <c r="D92" s="145">
        <v>992</v>
      </c>
      <c r="E92" s="146">
        <v>1315</v>
      </c>
      <c r="F92" s="144">
        <v>160.8</v>
      </c>
      <c r="G92" s="145">
        <f t="shared" si="1"/>
        <v>12.228136882129279</v>
      </c>
    </row>
    <row r="93" spans="1:7" s="191" customFormat="1" ht="15.75" customHeight="1">
      <c r="A93" s="147">
        <v>1043000000</v>
      </c>
      <c r="B93" s="219">
        <v>2219</v>
      </c>
      <c r="C93" s="249" t="s">
        <v>372</v>
      </c>
      <c r="D93" s="145">
        <v>1036</v>
      </c>
      <c r="E93" s="146">
        <v>1036</v>
      </c>
      <c r="F93" s="144">
        <v>0</v>
      </c>
      <c r="G93" s="145">
        <f t="shared" si="1"/>
        <v>0</v>
      </c>
    </row>
    <row r="94" spans="1:7" s="191" customFormat="1" ht="15.75">
      <c r="A94" s="147">
        <v>1044000000</v>
      </c>
      <c r="B94" s="219">
        <v>2219</v>
      </c>
      <c r="C94" s="148" t="s">
        <v>373</v>
      </c>
      <c r="D94" s="145">
        <v>3000</v>
      </c>
      <c r="E94" s="146">
        <v>3000</v>
      </c>
      <c r="F94" s="144">
        <v>0</v>
      </c>
      <c r="G94" s="145">
        <f t="shared" si="1"/>
        <v>0</v>
      </c>
    </row>
    <row r="95" spans="1:7" s="191" customFormat="1" ht="15.75">
      <c r="A95" s="147">
        <v>1051000000</v>
      </c>
      <c r="B95" s="219">
        <v>2219</v>
      </c>
      <c r="C95" s="148" t="s">
        <v>374</v>
      </c>
      <c r="D95" s="145">
        <v>2000</v>
      </c>
      <c r="E95" s="146">
        <v>2000</v>
      </c>
      <c r="F95" s="144">
        <v>0</v>
      </c>
      <c r="G95" s="145">
        <f t="shared" si="1"/>
        <v>0</v>
      </c>
    </row>
    <row r="96" spans="1:7" s="191" customFormat="1" ht="15.75" customHeight="1">
      <c r="A96" s="147">
        <v>1052000000</v>
      </c>
      <c r="B96" s="219">
        <v>2219</v>
      </c>
      <c r="C96" s="249" t="s">
        <v>375</v>
      </c>
      <c r="D96" s="145">
        <v>811</v>
      </c>
      <c r="E96" s="146">
        <v>811</v>
      </c>
      <c r="F96" s="144">
        <v>0</v>
      </c>
      <c r="G96" s="145">
        <f t="shared" si="1"/>
        <v>0</v>
      </c>
    </row>
    <row r="97" spans="1:7" s="191" customFormat="1" ht="15.75">
      <c r="A97" s="147">
        <v>1045000000</v>
      </c>
      <c r="B97" s="219">
        <v>2219</v>
      </c>
      <c r="C97" s="148" t="s">
        <v>376</v>
      </c>
      <c r="D97" s="145">
        <v>2500</v>
      </c>
      <c r="E97" s="146">
        <v>2500</v>
      </c>
      <c r="F97" s="144">
        <v>0</v>
      </c>
      <c r="G97" s="145">
        <f t="shared" si="1"/>
        <v>0</v>
      </c>
    </row>
    <row r="98" spans="1:7" s="191" customFormat="1" ht="15.75">
      <c r="A98" s="64">
        <v>1003071007</v>
      </c>
      <c r="B98" s="250">
        <v>2221</v>
      </c>
      <c r="C98" s="99" t="s">
        <v>377</v>
      </c>
      <c r="D98" s="145">
        <v>41700</v>
      </c>
      <c r="E98" s="146">
        <v>41777.5</v>
      </c>
      <c r="F98" s="144">
        <v>311.1</v>
      </c>
      <c r="G98" s="145">
        <f t="shared" si="1"/>
        <v>0.7446592065106816</v>
      </c>
    </row>
    <row r="99" spans="1:7" s="191" customFormat="1" ht="15.75">
      <c r="A99" s="147">
        <v>1039000000</v>
      </c>
      <c r="B99" s="219">
        <v>2221</v>
      </c>
      <c r="C99" s="148" t="s">
        <v>378</v>
      </c>
      <c r="D99" s="145">
        <v>23650</v>
      </c>
      <c r="E99" s="146">
        <v>23650</v>
      </c>
      <c r="F99" s="144">
        <v>104.4</v>
      </c>
      <c r="G99" s="145">
        <f t="shared" si="1"/>
        <v>0.44143763213530657</v>
      </c>
    </row>
    <row r="100" spans="1:7" s="191" customFormat="1" ht="15.75">
      <c r="A100" s="147">
        <v>1036000000</v>
      </c>
      <c r="B100" s="219">
        <v>2331</v>
      </c>
      <c r="C100" s="148" t="s">
        <v>379</v>
      </c>
      <c r="D100" s="145">
        <v>727</v>
      </c>
      <c r="E100" s="146">
        <v>727</v>
      </c>
      <c r="F100" s="144">
        <v>36.3</v>
      </c>
      <c r="G100" s="145">
        <f t="shared" si="1"/>
        <v>4.993122420907841</v>
      </c>
    </row>
    <row r="101" spans="1:7" s="191" customFormat="1" ht="15.75">
      <c r="A101" s="147">
        <v>1046000000</v>
      </c>
      <c r="B101" s="219">
        <v>3111</v>
      </c>
      <c r="C101" s="148" t="s">
        <v>380</v>
      </c>
      <c r="D101" s="145">
        <v>1831</v>
      </c>
      <c r="E101" s="146">
        <v>1831</v>
      </c>
      <c r="F101" s="144">
        <v>73.8</v>
      </c>
      <c r="G101" s="145">
        <f t="shared" si="1"/>
        <v>4.030584380120153</v>
      </c>
    </row>
    <row r="102" spans="1:7" s="191" customFormat="1" ht="15.75">
      <c r="A102" s="147">
        <v>1047000000</v>
      </c>
      <c r="B102" s="219">
        <v>3111</v>
      </c>
      <c r="C102" s="148" t="s">
        <v>381</v>
      </c>
      <c r="D102" s="145">
        <v>8490</v>
      </c>
      <c r="E102" s="146">
        <v>8490</v>
      </c>
      <c r="F102" s="144">
        <v>96.5</v>
      </c>
      <c r="G102" s="145">
        <f t="shared" si="1"/>
        <v>1.1366313309776208</v>
      </c>
    </row>
    <row r="103" spans="1:7" s="191" customFormat="1" ht="15.75">
      <c r="A103" s="147">
        <v>1048000000</v>
      </c>
      <c r="B103" s="219">
        <v>3113</v>
      </c>
      <c r="C103" s="148" t="s">
        <v>382</v>
      </c>
      <c r="D103" s="145">
        <v>11824</v>
      </c>
      <c r="E103" s="146">
        <v>11824</v>
      </c>
      <c r="F103" s="144">
        <v>114.1</v>
      </c>
      <c r="G103" s="145">
        <f t="shared" si="1"/>
        <v>0.9649864682002706</v>
      </c>
    </row>
    <row r="104" spans="1:7" s="191" customFormat="1" ht="15.75">
      <c r="A104" s="64">
        <v>1017000000</v>
      </c>
      <c r="B104" s="250">
        <v>3313</v>
      </c>
      <c r="C104" s="99" t="s">
        <v>383</v>
      </c>
      <c r="D104" s="145">
        <v>400</v>
      </c>
      <c r="E104" s="146">
        <v>400</v>
      </c>
      <c r="F104" s="144">
        <v>0</v>
      </c>
      <c r="G104" s="145">
        <f t="shared" si="1"/>
        <v>0</v>
      </c>
    </row>
    <row r="105" spans="1:7" s="191" customFormat="1" ht="15.75">
      <c r="A105" s="147">
        <v>1049000000</v>
      </c>
      <c r="B105" s="219">
        <v>3632</v>
      </c>
      <c r="C105" s="148" t="s">
        <v>384</v>
      </c>
      <c r="D105" s="145">
        <v>600</v>
      </c>
      <c r="E105" s="146">
        <v>600</v>
      </c>
      <c r="F105" s="144">
        <v>0</v>
      </c>
      <c r="G105" s="145">
        <f t="shared" si="1"/>
        <v>0</v>
      </c>
    </row>
    <row r="106" spans="1:7" s="191" customFormat="1" ht="15.75">
      <c r="A106" s="147">
        <v>1016092001</v>
      </c>
      <c r="B106" s="219">
        <v>3635</v>
      </c>
      <c r="C106" s="148" t="s">
        <v>385</v>
      </c>
      <c r="D106" s="145">
        <v>1405</v>
      </c>
      <c r="E106" s="146">
        <v>1405</v>
      </c>
      <c r="F106" s="144">
        <v>0</v>
      </c>
      <c r="G106" s="145">
        <f t="shared" si="1"/>
        <v>0</v>
      </c>
    </row>
    <row r="107" spans="1:7" s="191" customFormat="1" ht="15.75">
      <c r="A107" s="147">
        <v>1040000000</v>
      </c>
      <c r="B107" s="219">
        <v>4349</v>
      </c>
      <c r="C107" s="148" t="s">
        <v>386</v>
      </c>
      <c r="D107" s="145">
        <v>0</v>
      </c>
      <c r="E107" s="146">
        <v>116.9</v>
      </c>
      <c r="F107" s="144">
        <v>116.9</v>
      </c>
      <c r="G107" s="145">
        <f t="shared" si="1"/>
        <v>100</v>
      </c>
    </row>
    <row r="108" spans="1:7" s="191" customFormat="1" ht="15.75">
      <c r="A108" s="147">
        <v>1041000000</v>
      </c>
      <c r="B108" s="219">
        <v>4349</v>
      </c>
      <c r="C108" s="148" t="s">
        <v>387</v>
      </c>
      <c r="D108" s="145">
        <v>0</v>
      </c>
      <c r="E108" s="146">
        <v>367.5</v>
      </c>
      <c r="F108" s="144">
        <v>367.4</v>
      </c>
      <c r="G108" s="145">
        <f t="shared" si="1"/>
        <v>99.97278911564625</v>
      </c>
    </row>
    <row r="109" spans="1:7" s="191" customFormat="1" ht="15.75">
      <c r="A109" s="147">
        <v>1001081012</v>
      </c>
      <c r="B109" s="219">
        <v>4357</v>
      </c>
      <c r="C109" s="148" t="s">
        <v>388</v>
      </c>
      <c r="D109" s="145">
        <v>500</v>
      </c>
      <c r="E109" s="146">
        <v>500</v>
      </c>
      <c r="F109" s="144">
        <v>38.6</v>
      </c>
      <c r="G109" s="145">
        <f t="shared" si="1"/>
        <v>7.720000000000001</v>
      </c>
    </row>
    <row r="110" spans="1:7" s="191" customFormat="1" ht="15.75">
      <c r="A110" s="147">
        <v>1008010025</v>
      </c>
      <c r="B110" s="219">
        <v>4374</v>
      </c>
      <c r="C110" s="148" t="s">
        <v>389</v>
      </c>
      <c r="D110" s="145">
        <v>500</v>
      </c>
      <c r="E110" s="146">
        <v>500</v>
      </c>
      <c r="F110" s="144">
        <v>0</v>
      </c>
      <c r="G110" s="145">
        <f t="shared" si="1"/>
        <v>0</v>
      </c>
    </row>
    <row r="111" spans="1:7" s="191" customFormat="1" ht="15.75">
      <c r="A111" s="147">
        <v>1050000000</v>
      </c>
      <c r="B111" s="219">
        <v>6171</v>
      </c>
      <c r="C111" s="148" t="s">
        <v>390</v>
      </c>
      <c r="D111" s="145">
        <v>2700</v>
      </c>
      <c r="E111" s="146">
        <v>2700</v>
      </c>
      <c r="F111" s="144">
        <v>0</v>
      </c>
      <c r="G111" s="145">
        <f>(F111/E111)*100</f>
        <v>0</v>
      </c>
    </row>
    <row r="112" spans="1:7" s="191" customFormat="1" ht="15.75">
      <c r="A112" s="147"/>
      <c r="B112" s="219"/>
      <c r="C112" s="148"/>
      <c r="D112" s="145"/>
      <c r="E112" s="146"/>
      <c r="F112" s="144"/>
      <c r="G112" s="145"/>
    </row>
    <row r="113" spans="1:7" s="197" customFormat="1" ht="16.5" customHeight="1">
      <c r="A113" s="109"/>
      <c r="B113" s="251"/>
      <c r="C113" s="108" t="s">
        <v>391</v>
      </c>
      <c r="D113" s="252">
        <f>SUM(D82:D112)</f>
        <v>116933</v>
      </c>
      <c r="E113" s="253">
        <f>SUM(E82:E112)</f>
        <v>118450.9</v>
      </c>
      <c r="F113" s="254">
        <f>SUM(F82:F112)</f>
        <v>1967</v>
      </c>
      <c r="G113" s="145">
        <f>(F113/E113)*100</f>
        <v>1.660603676291189</v>
      </c>
    </row>
    <row r="114" spans="1:7" s="197" customFormat="1" ht="16.5" customHeight="1" hidden="1">
      <c r="A114" s="109"/>
      <c r="B114" s="251"/>
      <c r="C114" s="108" t="s">
        <v>392</v>
      </c>
      <c r="D114" s="252" t="e">
        <f>SUM(#REF!+#REF!+#REF!+#REF!)</f>
        <v>#REF!</v>
      </c>
      <c r="E114" s="253" t="e">
        <f>SUM(#REF!+92+#REF!+#REF!)</f>
        <v>#REF!</v>
      </c>
      <c r="F114" s="254" t="e">
        <f>SUM(#REF!+#REF!+#REF!+#REF!)</f>
        <v>#REF!</v>
      </c>
      <c r="G114" s="145" t="e">
        <f>(#REF!/E114)*100</f>
        <v>#REF!</v>
      </c>
    </row>
    <row r="115" spans="1:7" s="191" customFormat="1" ht="15.75" customHeight="1" thickBot="1">
      <c r="A115" s="147"/>
      <c r="B115" s="219"/>
      <c r="C115" s="148"/>
      <c r="D115" s="145"/>
      <c r="E115" s="146"/>
      <c r="F115" s="144"/>
      <c r="G115" s="145"/>
    </row>
    <row r="116" spans="1:7" s="191" customFormat="1" ht="12.75" customHeight="1" hidden="1" thickBot="1">
      <c r="A116" s="255"/>
      <c r="B116" s="256"/>
      <c r="C116" s="257"/>
      <c r="D116" s="258"/>
      <c r="E116" s="259"/>
      <c r="F116" s="260"/>
      <c r="G116" s="258"/>
    </row>
    <row r="117" spans="1:7" s="186" customFormat="1" ht="18.75" customHeight="1" thickBot="1" thickTop="1">
      <c r="A117" s="261"/>
      <c r="B117" s="230"/>
      <c r="C117" s="262" t="s">
        <v>393</v>
      </c>
      <c r="D117" s="232">
        <f>SUM(D80,D113)</f>
        <v>188459</v>
      </c>
      <c r="E117" s="233">
        <f>SUM(E80,E113)</f>
        <v>197122</v>
      </c>
      <c r="F117" s="234">
        <f>SUM(F80,F113)</f>
        <v>21774.2</v>
      </c>
      <c r="G117" s="232">
        <f>(F117/E117)*100</f>
        <v>11.046052698328953</v>
      </c>
    </row>
    <row r="118" spans="1:7" s="191" customFormat="1" ht="16.5" customHeight="1">
      <c r="A118" s="235"/>
      <c r="B118" s="263"/>
      <c r="C118" s="235"/>
      <c r="D118" s="237"/>
      <c r="E118" s="264"/>
      <c r="F118" s="195"/>
      <c r="G118" s="195"/>
    </row>
    <row r="119" spans="1:7" s="186" customFormat="1" ht="12.75" customHeight="1" hidden="1">
      <c r="A119" s="185"/>
      <c r="B119" s="188"/>
      <c r="C119" s="235"/>
      <c r="D119" s="237"/>
      <c r="E119" s="237"/>
      <c r="F119" s="237"/>
      <c r="G119" s="237"/>
    </row>
    <row r="120" spans="1:7" s="186" customFormat="1" ht="12.75" customHeight="1" hidden="1">
      <c r="A120" s="185"/>
      <c r="B120" s="188"/>
      <c r="C120" s="235"/>
      <c r="D120" s="237"/>
      <c r="E120" s="237"/>
      <c r="F120" s="237"/>
      <c r="G120" s="237"/>
    </row>
    <row r="121" spans="1:7" s="186" customFormat="1" ht="12.75" customHeight="1" hidden="1">
      <c r="A121" s="185"/>
      <c r="B121" s="188"/>
      <c r="C121" s="235"/>
      <c r="D121" s="237"/>
      <c r="E121" s="237"/>
      <c r="F121" s="237"/>
      <c r="G121" s="237"/>
    </row>
    <row r="122" spans="1:7" s="186" customFormat="1" ht="12.75" customHeight="1" hidden="1">
      <c r="A122" s="185"/>
      <c r="B122" s="188"/>
      <c r="C122" s="235"/>
      <c r="D122" s="237"/>
      <c r="E122" s="237"/>
      <c r="F122" s="237"/>
      <c r="G122" s="237"/>
    </row>
    <row r="123" spans="1:7" s="186" customFormat="1" ht="12.75" customHeight="1" hidden="1">
      <c r="A123" s="185"/>
      <c r="B123" s="188"/>
      <c r="C123" s="235"/>
      <c r="D123" s="237"/>
      <c r="E123" s="237"/>
      <c r="F123" s="237"/>
      <c r="G123" s="237"/>
    </row>
    <row r="124" spans="1:7" s="186" customFormat="1" ht="12.75" customHeight="1" hidden="1">
      <c r="A124" s="185"/>
      <c r="B124" s="188"/>
      <c r="C124" s="235"/>
      <c r="D124" s="237"/>
      <c r="E124" s="237"/>
      <c r="F124" s="237"/>
      <c r="G124" s="237"/>
    </row>
    <row r="125" spans="1:7" s="186" customFormat="1" ht="15.75" customHeight="1" thickBot="1">
      <c r="A125" s="185"/>
      <c r="B125" s="188"/>
      <c r="C125" s="235"/>
      <c r="D125" s="237"/>
      <c r="E125" s="202"/>
      <c r="F125" s="202"/>
      <c r="G125" s="202"/>
    </row>
    <row r="126" spans="1:7" s="186" customFormat="1" ht="15.75">
      <c r="A126" s="206" t="s">
        <v>27</v>
      </c>
      <c r="B126" s="207" t="s">
        <v>28</v>
      </c>
      <c r="C126" s="206" t="s">
        <v>30</v>
      </c>
      <c r="D126" s="206" t="s">
        <v>31</v>
      </c>
      <c r="E126" s="206" t="s">
        <v>31</v>
      </c>
      <c r="F126" s="54" t="s">
        <v>8</v>
      </c>
      <c r="G126" s="206" t="s">
        <v>304</v>
      </c>
    </row>
    <row r="127" spans="1:7" s="186" customFormat="1" ht="15.75" customHeight="1" thickBot="1">
      <c r="A127" s="208"/>
      <c r="B127" s="209"/>
      <c r="C127" s="210"/>
      <c r="D127" s="211" t="s">
        <v>33</v>
      </c>
      <c r="E127" s="211" t="s">
        <v>34</v>
      </c>
      <c r="F127" s="58" t="s">
        <v>35</v>
      </c>
      <c r="G127" s="211" t="s">
        <v>305</v>
      </c>
    </row>
    <row r="128" spans="1:7" s="186" customFormat="1" ht="16.5" customHeight="1" thickTop="1">
      <c r="A128" s="212">
        <v>30</v>
      </c>
      <c r="B128" s="212"/>
      <c r="C128" s="109" t="s">
        <v>123</v>
      </c>
      <c r="D128" s="117"/>
      <c r="E128" s="115"/>
      <c r="F128" s="116"/>
      <c r="G128" s="117"/>
    </row>
    <row r="129" spans="1:7" s="186" customFormat="1" ht="16.5" customHeight="1">
      <c r="A129" s="265">
        <v>31</v>
      </c>
      <c r="B129" s="265"/>
      <c r="C129" s="109"/>
      <c r="D129" s="145"/>
      <c r="E129" s="146"/>
      <c r="F129" s="144"/>
      <c r="G129" s="145"/>
    </row>
    <row r="130" spans="1:7" s="186" customFormat="1" ht="15">
      <c r="A130" s="147"/>
      <c r="B130" s="266">
        <v>3341</v>
      </c>
      <c r="C130" s="185" t="s">
        <v>394</v>
      </c>
      <c r="D130" s="145">
        <v>30</v>
      </c>
      <c r="E130" s="146">
        <v>30</v>
      </c>
      <c r="F130" s="144">
        <v>0</v>
      </c>
      <c r="G130" s="145">
        <f aca="true" t="shared" si="2" ref="G130:G140">(F130/E130)*100</f>
        <v>0</v>
      </c>
    </row>
    <row r="131" spans="1:7" s="186" customFormat="1" ht="15.75" customHeight="1">
      <c r="A131" s="147"/>
      <c r="B131" s="266">
        <v>3349</v>
      </c>
      <c r="C131" s="148" t="s">
        <v>395</v>
      </c>
      <c r="D131" s="145">
        <v>735</v>
      </c>
      <c r="E131" s="146">
        <v>735</v>
      </c>
      <c r="F131" s="144">
        <v>190.2</v>
      </c>
      <c r="G131" s="145">
        <f t="shared" si="2"/>
        <v>25.877551020408163</v>
      </c>
    </row>
    <row r="132" spans="1:7" s="186" customFormat="1" ht="15.75" customHeight="1">
      <c r="A132" s="147"/>
      <c r="B132" s="266">
        <v>5212</v>
      </c>
      <c r="C132" s="147" t="s">
        <v>396</v>
      </c>
      <c r="D132" s="267">
        <v>20</v>
      </c>
      <c r="E132" s="268">
        <v>20</v>
      </c>
      <c r="F132" s="144">
        <v>0</v>
      </c>
      <c r="G132" s="145">
        <f t="shared" si="2"/>
        <v>0</v>
      </c>
    </row>
    <row r="133" spans="1:7" s="186" customFormat="1" ht="15.75" customHeight="1">
      <c r="A133" s="147"/>
      <c r="B133" s="266">
        <v>5279</v>
      </c>
      <c r="C133" s="147" t="s">
        <v>397</v>
      </c>
      <c r="D133" s="267">
        <v>50</v>
      </c>
      <c r="E133" s="268">
        <v>50</v>
      </c>
      <c r="F133" s="144">
        <v>0</v>
      </c>
      <c r="G133" s="145">
        <f t="shared" si="2"/>
        <v>0</v>
      </c>
    </row>
    <row r="134" spans="1:7" s="186" customFormat="1" ht="15">
      <c r="A134" s="147"/>
      <c r="B134" s="266">
        <v>5512</v>
      </c>
      <c r="C134" s="185" t="s">
        <v>398</v>
      </c>
      <c r="D134" s="145">
        <v>3838</v>
      </c>
      <c r="E134" s="146">
        <v>3838</v>
      </c>
      <c r="F134" s="144">
        <v>312.9</v>
      </c>
      <c r="G134" s="145">
        <f t="shared" si="2"/>
        <v>8.152683689421574</v>
      </c>
    </row>
    <row r="135" spans="1:7" s="186" customFormat="1" ht="15.75" customHeight="1">
      <c r="A135" s="147"/>
      <c r="B135" s="266">
        <v>6112</v>
      </c>
      <c r="C135" s="148" t="s">
        <v>399</v>
      </c>
      <c r="D135" s="145">
        <v>4988.3</v>
      </c>
      <c r="E135" s="146">
        <v>4988.3</v>
      </c>
      <c r="F135" s="144">
        <v>1464.8</v>
      </c>
      <c r="G135" s="145">
        <f t="shared" si="2"/>
        <v>29.364713429424853</v>
      </c>
    </row>
    <row r="136" spans="1:7" s="186" customFormat="1" ht="15.75" customHeight="1" hidden="1">
      <c r="A136" s="147"/>
      <c r="B136" s="266">
        <v>6114</v>
      </c>
      <c r="C136" s="148" t="s">
        <v>400</v>
      </c>
      <c r="D136" s="145">
        <v>0</v>
      </c>
      <c r="E136" s="146"/>
      <c r="F136" s="144"/>
      <c r="G136" s="145" t="e">
        <f t="shared" si="2"/>
        <v>#DIV/0!</v>
      </c>
    </row>
    <row r="137" spans="1:7" s="186" customFormat="1" ht="15.75" customHeight="1" hidden="1">
      <c r="A137" s="147"/>
      <c r="B137" s="266">
        <v>6115</v>
      </c>
      <c r="C137" s="148" t="s">
        <v>401</v>
      </c>
      <c r="D137" s="145">
        <v>0</v>
      </c>
      <c r="E137" s="146"/>
      <c r="F137" s="144"/>
      <c r="G137" s="145" t="e">
        <f t="shared" si="2"/>
        <v>#DIV/0!</v>
      </c>
    </row>
    <row r="138" spans="1:7" s="186" customFormat="1" ht="15.75" customHeight="1">
      <c r="A138" s="147"/>
      <c r="B138" s="266">
        <v>6118</v>
      </c>
      <c r="C138" s="148" t="s">
        <v>402</v>
      </c>
      <c r="D138" s="267">
        <v>0</v>
      </c>
      <c r="E138" s="268">
        <v>653</v>
      </c>
      <c r="F138" s="144">
        <v>469.4</v>
      </c>
      <c r="G138" s="145">
        <f t="shared" si="2"/>
        <v>71.88361408882082</v>
      </c>
    </row>
    <row r="139" spans="1:7" s="186" customFormat="1" ht="15.75" customHeight="1" hidden="1">
      <c r="A139" s="147"/>
      <c r="B139" s="266">
        <v>6149</v>
      </c>
      <c r="C139" s="148" t="s">
        <v>403</v>
      </c>
      <c r="D139" s="267">
        <v>0</v>
      </c>
      <c r="E139" s="268">
        <v>0</v>
      </c>
      <c r="F139" s="144"/>
      <c r="G139" s="145" t="e">
        <f t="shared" si="2"/>
        <v>#DIV/0!</v>
      </c>
    </row>
    <row r="140" spans="1:7" s="186" customFormat="1" ht="17.25" customHeight="1">
      <c r="A140" s="266" t="s">
        <v>404</v>
      </c>
      <c r="B140" s="266">
        <v>6171</v>
      </c>
      <c r="C140" s="148" t="s">
        <v>405</v>
      </c>
      <c r="D140" s="145">
        <f>100227+200</f>
        <v>100427</v>
      </c>
      <c r="E140" s="146">
        <f>102880.7+200</f>
        <v>103080.7</v>
      </c>
      <c r="F140" s="144">
        <f>27925.5+67.4</f>
        <v>27992.9</v>
      </c>
      <c r="G140" s="145">
        <f t="shared" si="2"/>
        <v>27.15629598945293</v>
      </c>
    </row>
    <row r="141" spans="1:7" s="186" customFormat="1" ht="15.75" customHeight="1" thickBot="1">
      <c r="A141" s="269"/>
      <c r="B141" s="270"/>
      <c r="C141" s="271"/>
      <c r="D141" s="267"/>
      <c r="E141" s="268"/>
      <c r="F141" s="272"/>
      <c r="G141" s="267"/>
    </row>
    <row r="142" spans="1:7" s="186" customFormat="1" ht="18.75" customHeight="1" thickBot="1" thickTop="1">
      <c r="A142" s="261"/>
      <c r="B142" s="273"/>
      <c r="C142" s="274" t="s">
        <v>406</v>
      </c>
      <c r="D142" s="232">
        <f>SUM(D130:D141)</f>
        <v>110088.3</v>
      </c>
      <c r="E142" s="233">
        <f>SUM(E130:E141)</f>
        <v>113395</v>
      </c>
      <c r="F142" s="234">
        <f>SUM(F130:F141)</f>
        <v>30430.2</v>
      </c>
      <c r="G142" s="232">
        <f>(F142/E142)*100</f>
        <v>26.835574760791925</v>
      </c>
    </row>
    <row r="143" spans="1:7" s="186" customFormat="1" ht="15.75" customHeight="1">
      <c r="A143" s="185"/>
      <c r="B143" s="188"/>
      <c r="C143" s="235"/>
      <c r="D143" s="237"/>
      <c r="E143" s="275"/>
      <c r="F143" s="237"/>
      <c r="G143" s="237"/>
    </row>
    <row r="144" spans="1:7" s="186" customFormat="1" ht="12.75" customHeight="1" hidden="1">
      <c r="A144" s="185"/>
      <c r="B144" s="188"/>
      <c r="C144" s="235"/>
      <c r="D144" s="237"/>
      <c r="E144" s="237"/>
      <c r="F144" s="237"/>
      <c r="G144" s="237"/>
    </row>
    <row r="145" spans="1:7" s="186" customFormat="1" ht="12.75" customHeight="1" hidden="1">
      <c r="A145" s="185"/>
      <c r="B145" s="188"/>
      <c r="C145" s="235"/>
      <c r="D145" s="237"/>
      <c r="E145" s="237"/>
      <c r="F145" s="237"/>
      <c r="G145" s="237"/>
    </row>
    <row r="146" spans="1:7" s="186" customFormat="1" ht="12.75" customHeight="1" hidden="1">
      <c r="A146" s="185"/>
      <c r="B146" s="188"/>
      <c r="C146" s="235"/>
      <c r="D146" s="237"/>
      <c r="E146" s="237"/>
      <c r="F146" s="237"/>
      <c r="G146" s="237"/>
    </row>
    <row r="147" spans="1:7" s="186" customFormat="1" ht="12.75" customHeight="1" hidden="1">
      <c r="A147" s="185"/>
      <c r="B147" s="188"/>
      <c r="C147" s="235"/>
      <c r="D147" s="237"/>
      <c r="E147" s="237"/>
      <c r="F147" s="237"/>
      <c r="G147" s="237"/>
    </row>
    <row r="148" spans="1:7" s="186" customFormat="1" ht="15.75" customHeight="1" thickBot="1">
      <c r="A148" s="185"/>
      <c r="B148" s="188"/>
      <c r="C148" s="235"/>
      <c r="D148" s="237"/>
      <c r="E148" s="237"/>
      <c r="F148" s="237"/>
      <c r="G148" s="237"/>
    </row>
    <row r="149" spans="1:7" s="186" customFormat="1" ht="15.75">
      <c r="A149" s="206" t="s">
        <v>27</v>
      </c>
      <c r="B149" s="207" t="s">
        <v>28</v>
      </c>
      <c r="C149" s="206" t="s">
        <v>30</v>
      </c>
      <c r="D149" s="206" t="s">
        <v>31</v>
      </c>
      <c r="E149" s="206" t="s">
        <v>31</v>
      </c>
      <c r="F149" s="54" t="s">
        <v>8</v>
      </c>
      <c r="G149" s="206" t="s">
        <v>304</v>
      </c>
    </row>
    <row r="150" spans="1:7" s="186" customFormat="1" ht="15.75" customHeight="1" thickBot="1">
      <c r="A150" s="208"/>
      <c r="B150" s="209"/>
      <c r="C150" s="210"/>
      <c r="D150" s="211" t="s">
        <v>33</v>
      </c>
      <c r="E150" s="211" t="s">
        <v>34</v>
      </c>
      <c r="F150" s="58" t="s">
        <v>35</v>
      </c>
      <c r="G150" s="211" t="s">
        <v>305</v>
      </c>
    </row>
    <row r="151" spans="1:7" s="186" customFormat="1" ht="16.5" thickTop="1">
      <c r="A151" s="212">
        <v>50</v>
      </c>
      <c r="B151" s="213"/>
      <c r="C151" s="214" t="s">
        <v>153</v>
      </c>
      <c r="D151" s="117"/>
      <c r="E151" s="115"/>
      <c r="F151" s="116"/>
      <c r="G151" s="117"/>
    </row>
    <row r="152" spans="1:7" s="186" customFormat="1" ht="14.25" customHeight="1">
      <c r="A152" s="212"/>
      <c r="B152" s="213"/>
      <c r="C152" s="214"/>
      <c r="D152" s="117"/>
      <c r="E152" s="115"/>
      <c r="F152" s="116"/>
      <c r="G152" s="117"/>
    </row>
    <row r="153" spans="1:7" s="186" customFormat="1" ht="15">
      <c r="A153" s="147"/>
      <c r="B153" s="219">
        <v>3541</v>
      </c>
      <c r="C153" s="147" t="s">
        <v>407</v>
      </c>
      <c r="D153" s="100">
        <v>400</v>
      </c>
      <c r="E153" s="66">
        <v>400</v>
      </c>
      <c r="F153" s="67">
        <v>100</v>
      </c>
      <c r="G153" s="145">
        <f aca="true" t="shared" si="3" ref="G153:G169">(F153/E153)*100</f>
        <v>25</v>
      </c>
    </row>
    <row r="154" spans="1:7" s="186" customFormat="1" ht="15">
      <c r="A154" s="147"/>
      <c r="B154" s="219">
        <v>3599</v>
      </c>
      <c r="C154" s="147" t="s">
        <v>408</v>
      </c>
      <c r="D154" s="100">
        <v>3</v>
      </c>
      <c r="E154" s="66">
        <v>3</v>
      </c>
      <c r="F154" s="67">
        <v>3</v>
      </c>
      <c r="G154" s="145">
        <f t="shared" si="3"/>
        <v>100</v>
      </c>
    </row>
    <row r="155" spans="1:7" s="186" customFormat="1" ht="15">
      <c r="A155" s="147"/>
      <c r="B155" s="219">
        <v>4193</v>
      </c>
      <c r="C155" s="147" t="s">
        <v>409</v>
      </c>
      <c r="D155" s="100">
        <v>0</v>
      </c>
      <c r="E155" s="66">
        <v>19.4</v>
      </c>
      <c r="F155" s="67">
        <v>19.4</v>
      </c>
      <c r="G155" s="145">
        <f t="shared" si="3"/>
        <v>100</v>
      </c>
    </row>
    <row r="156" spans="1:7" s="186" customFormat="1" ht="15">
      <c r="A156" s="276"/>
      <c r="B156" s="219">
        <v>4329</v>
      </c>
      <c r="C156" s="147" t="s">
        <v>410</v>
      </c>
      <c r="D156" s="100">
        <v>40</v>
      </c>
      <c r="E156" s="66">
        <v>50</v>
      </c>
      <c r="F156" s="67">
        <v>10</v>
      </c>
      <c r="G156" s="145">
        <f t="shared" si="3"/>
        <v>20</v>
      </c>
    </row>
    <row r="157" spans="1:7" s="186" customFormat="1" ht="15">
      <c r="A157" s="147"/>
      <c r="B157" s="219">
        <v>4333</v>
      </c>
      <c r="C157" s="147" t="s">
        <v>411</v>
      </c>
      <c r="D157" s="100">
        <v>150</v>
      </c>
      <c r="E157" s="66">
        <v>150</v>
      </c>
      <c r="F157" s="67">
        <v>37.5</v>
      </c>
      <c r="G157" s="145">
        <f t="shared" si="3"/>
        <v>25</v>
      </c>
    </row>
    <row r="158" spans="1:7" s="186" customFormat="1" ht="15" customHeight="1" hidden="1">
      <c r="A158" s="147"/>
      <c r="B158" s="219">
        <v>4341</v>
      </c>
      <c r="C158" s="147" t="s">
        <v>412</v>
      </c>
      <c r="D158" s="100">
        <v>0</v>
      </c>
      <c r="E158" s="66">
        <v>0</v>
      </c>
      <c r="F158" s="67"/>
      <c r="G158" s="145" t="e">
        <f t="shared" si="3"/>
        <v>#DIV/0!</v>
      </c>
    </row>
    <row r="159" spans="1:7" s="186" customFormat="1" ht="15">
      <c r="A159" s="147"/>
      <c r="B159" s="219">
        <v>4342</v>
      </c>
      <c r="C159" s="147" t="s">
        <v>413</v>
      </c>
      <c r="D159" s="100">
        <v>20</v>
      </c>
      <c r="E159" s="66">
        <v>0.6</v>
      </c>
      <c r="F159" s="67">
        <v>0</v>
      </c>
      <c r="G159" s="145">
        <f t="shared" si="3"/>
        <v>0</v>
      </c>
    </row>
    <row r="160" spans="1:7" s="186" customFormat="1" ht="15">
      <c r="A160" s="147"/>
      <c r="B160" s="219">
        <v>4343</v>
      </c>
      <c r="C160" s="147" t="s">
        <v>414</v>
      </c>
      <c r="D160" s="100">
        <v>50</v>
      </c>
      <c r="E160" s="66">
        <v>50</v>
      </c>
      <c r="F160" s="67">
        <v>0</v>
      </c>
      <c r="G160" s="145">
        <f t="shared" si="3"/>
        <v>0</v>
      </c>
    </row>
    <row r="161" spans="1:7" s="186" customFormat="1" ht="15">
      <c r="A161" s="147"/>
      <c r="B161" s="219">
        <v>4349</v>
      </c>
      <c r="C161" s="147" t="s">
        <v>415</v>
      </c>
      <c r="D161" s="100">
        <v>530</v>
      </c>
      <c r="E161" s="66">
        <v>511.1</v>
      </c>
      <c r="F161" s="67">
        <v>37.5</v>
      </c>
      <c r="G161" s="145">
        <f t="shared" si="3"/>
        <v>7.337116024261396</v>
      </c>
    </row>
    <row r="162" spans="1:7" s="186" customFormat="1" ht="15">
      <c r="A162" s="276"/>
      <c r="B162" s="277">
        <v>4351</v>
      </c>
      <c r="C162" s="276" t="s">
        <v>416</v>
      </c>
      <c r="D162" s="100">
        <v>2124</v>
      </c>
      <c r="E162" s="66">
        <v>2132.9</v>
      </c>
      <c r="F162" s="67">
        <v>538.3</v>
      </c>
      <c r="G162" s="145">
        <f t="shared" si="3"/>
        <v>25.237938956350504</v>
      </c>
    </row>
    <row r="163" spans="1:7" s="186" customFormat="1" ht="15">
      <c r="A163" s="276"/>
      <c r="B163" s="277">
        <v>4356</v>
      </c>
      <c r="C163" s="276" t="s">
        <v>417</v>
      </c>
      <c r="D163" s="100">
        <v>600</v>
      </c>
      <c r="E163" s="66">
        <v>600</v>
      </c>
      <c r="F163" s="67">
        <v>150</v>
      </c>
      <c r="G163" s="145">
        <f t="shared" si="3"/>
        <v>25</v>
      </c>
    </row>
    <row r="164" spans="1:7" s="186" customFormat="1" ht="15">
      <c r="A164" s="276"/>
      <c r="B164" s="277">
        <v>4357</v>
      </c>
      <c r="C164" s="276" t="s">
        <v>418</v>
      </c>
      <c r="D164" s="100">
        <v>8200</v>
      </c>
      <c r="E164" s="66">
        <v>8200</v>
      </c>
      <c r="F164" s="67">
        <v>8200</v>
      </c>
      <c r="G164" s="145">
        <f t="shared" si="3"/>
        <v>100</v>
      </c>
    </row>
    <row r="165" spans="1:7" s="186" customFormat="1" ht="15">
      <c r="A165" s="276"/>
      <c r="B165" s="277">
        <v>4357</v>
      </c>
      <c r="C165" s="276" t="s">
        <v>419</v>
      </c>
      <c r="D165" s="100">
        <v>500</v>
      </c>
      <c r="E165" s="66">
        <v>500</v>
      </c>
      <c r="F165" s="67">
        <v>125</v>
      </c>
      <c r="G165" s="145">
        <f t="shared" si="3"/>
        <v>25</v>
      </c>
    </row>
    <row r="166" spans="1:7" s="186" customFormat="1" ht="15">
      <c r="A166" s="276"/>
      <c r="B166" s="278">
        <v>4359</v>
      </c>
      <c r="C166" s="279" t="s">
        <v>420</v>
      </c>
      <c r="D166" s="119">
        <v>100</v>
      </c>
      <c r="E166" s="71">
        <v>100</v>
      </c>
      <c r="F166" s="72">
        <v>50</v>
      </c>
      <c r="G166" s="145">
        <f t="shared" si="3"/>
        <v>50</v>
      </c>
    </row>
    <row r="167" spans="1:7" s="186" customFormat="1" ht="15">
      <c r="A167" s="147"/>
      <c r="B167" s="219">
        <v>4371</v>
      </c>
      <c r="C167" s="248" t="s">
        <v>421</v>
      </c>
      <c r="D167" s="100">
        <v>520</v>
      </c>
      <c r="E167" s="66">
        <v>520</v>
      </c>
      <c r="F167" s="67">
        <v>130</v>
      </c>
      <c r="G167" s="145">
        <f t="shared" si="3"/>
        <v>25</v>
      </c>
    </row>
    <row r="168" spans="1:7" s="186" customFormat="1" ht="15">
      <c r="A168" s="147"/>
      <c r="B168" s="219">
        <v>4374</v>
      </c>
      <c r="C168" s="147" t="s">
        <v>422</v>
      </c>
      <c r="D168" s="100">
        <v>300</v>
      </c>
      <c r="E168" s="66">
        <v>300</v>
      </c>
      <c r="F168" s="67">
        <v>75</v>
      </c>
      <c r="G168" s="145">
        <f t="shared" si="3"/>
        <v>25</v>
      </c>
    </row>
    <row r="169" spans="1:7" s="186" customFormat="1" ht="15">
      <c r="A169" s="276"/>
      <c r="B169" s="277">
        <v>4399</v>
      </c>
      <c r="C169" s="276" t="s">
        <v>423</v>
      </c>
      <c r="D169" s="119">
        <v>60</v>
      </c>
      <c r="E169" s="71">
        <v>60</v>
      </c>
      <c r="F169" s="72">
        <v>0</v>
      </c>
      <c r="G169" s="145">
        <f t="shared" si="3"/>
        <v>0</v>
      </c>
    </row>
    <row r="170" spans="1:7" s="186" customFormat="1" ht="15" hidden="1">
      <c r="A170" s="276"/>
      <c r="B170" s="277">
        <v>6402</v>
      </c>
      <c r="C170" s="276" t="s">
        <v>424</v>
      </c>
      <c r="D170" s="267"/>
      <c r="E170" s="268"/>
      <c r="F170" s="72"/>
      <c r="G170" s="145" t="e">
        <f>(#REF!/E170)*100</f>
        <v>#REF!</v>
      </c>
    </row>
    <row r="171" spans="1:7" s="186" customFormat="1" ht="15" customHeight="1" hidden="1">
      <c r="A171" s="276"/>
      <c r="B171" s="277">
        <v>6409</v>
      </c>
      <c r="C171" s="276" t="s">
        <v>425</v>
      </c>
      <c r="D171" s="267">
        <v>0</v>
      </c>
      <c r="E171" s="268">
        <v>0</v>
      </c>
      <c r="F171" s="272"/>
      <c r="G171" s="145" t="e">
        <f>(#REF!/E171)*100</f>
        <v>#REF!</v>
      </c>
    </row>
    <row r="172" spans="1:7" s="186" customFormat="1" ht="15" customHeight="1" thickBot="1">
      <c r="A172" s="276"/>
      <c r="B172" s="277"/>
      <c r="C172" s="276"/>
      <c r="D172" s="267"/>
      <c r="E172" s="268"/>
      <c r="F172" s="272"/>
      <c r="G172" s="145"/>
    </row>
    <row r="173" spans="1:7" s="186" customFormat="1" ht="18.75" customHeight="1" thickBot="1" thickTop="1">
      <c r="A173" s="261"/>
      <c r="B173" s="230"/>
      <c r="C173" s="231" t="s">
        <v>426</v>
      </c>
      <c r="D173" s="232">
        <f>SUM(D153:D172)</f>
        <v>13597</v>
      </c>
      <c r="E173" s="233">
        <f>SUM(E153:E172)</f>
        <v>13597</v>
      </c>
      <c r="F173" s="234">
        <f>SUM(F153:F172)</f>
        <v>9475.7</v>
      </c>
      <c r="G173" s="232">
        <f>(F173/E173)*100</f>
        <v>69.68963742001912</v>
      </c>
    </row>
    <row r="174" spans="1:7" s="186" customFormat="1" ht="15.75" customHeight="1">
      <c r="A174" s="185"/>
      <c r="B174" s="188"/>
      <c r="C174" s="235"/>
      <c r="D174" s="236"/>
      <c r="E174" s="236"/>
      <c r="F174" s="236"/>
      <c r="G174" s="236"/>
    </row>
    <row r="175" spans="1:7" s="186" customFormat="1" ht="15.75" customHeight="1">
      <c r="A175" s="185"/>
      <c r="B175" s="188"/>
      <c r="C175" s="235"/>
      <c r="D175" s="237"/>
      <c r="E175" s="237"/>
      <c r="F175" s="237"/>
      <c r="G175" s="237"/>
    </row>
    <row r="176" spans="1:7" s="186" customFormat="1" ht="12.75" customHeight="1" hidden="1">
      <c r="A176" s="185"/>
      <c r="C176" s="188"/>
      <c r="D176" s="237"/>
      <c r="E176" s="237"/>
      <c r="F176" s="237"/>
      <c r="G176" s="237"/>
    </row>
    <row r="177" spans="1:7" s="186" customFormat="1" ht="12.75" customHeight="1" hidden="1">
      <c r="A177" s="185"/>
      <c r="B177" s="188"/>
      <c r="C177" s="235"/>
      <c r="D177" s="237"/>
      <c r="E177" s="237"/>
      <c r="F177" s="237"/>
      <c r="G177" s="237"/>
    </row>
    <row r="178" spans="1:7" s="186" customFormat="1" ht="12.75" customHeight="1" hidden="1">
      <c r="A178" s="185"/>
      <c r="B178" s="188"/>
      <c r="C178" s="235"/>
      <c r="D178" s="237"/>
      <c r="E178" s="237"/>
      <c r="F178" s="237"/>
      <c r="G178" s="237"/>
    </row>
    <row r="179" spans="1:7" s="186" customFormat="1" ht="12.75" customHeight="1" hidden="1">
      <c r="A179" s="185"/>
      <c r="B179" s="188"/>
      <c r="C179" s="235"/>
      <c r="D179" s="237"/>
      <c r="E179" s="237"/>
      <c r="F179" s="237"/>
      <c r="G179" s="237"/>
    </row>
    <row r="180" spans="1:7" s="186" customFormat="1" ht="12.75" customHeight="1" hidden="1">
      <c r="A180" s="185"/>
      <c r="B180" s="188"/>
      <c r="C180" s="235"/>
      <c r="D180" s="237"/>
      <c r="E180" s="237"/>
      <c r="F180" s="237"/>
      <c r="G180" s="237"/>
    </row>
    <row r="181" spans="1:7" s="186" customFormat="1" ht="12.75" customHeight="1" hidden="1">
      <c r="A181" s="185"/>
      <c r="B181" s="188"/>
      <c r="C181" s="235"/>
      <c r="D181" s="237"/>
      <c r="E181" s="237"/>
      <c r="F181" s="237"/>
      <c r="G181" s="237"/>
    </row>
    <row r="182" spans="1:7" s="186" customFormat="1" ht="12.75" customHeight="1" hidden="1">
      <c r="A182" s="185"/>
      <c r="B182" s="188"/>
      <c r="C182" s="235"/>
      <c r="D182" s="237"/>
      <c r="E182" s="195"/>
      <c r="F182" s="195"/>
      <c r="G182" s="195"/>
    </row>
    <row r="183" spans="1:7" s="186" customFormat="1" ht="12.75" customHeight="1" hidden="1">
      <c r="A183" s="185"/>
      <c r="B183" s="188"/>
      <c r="C183" s="235"/>
      <c r="D183" s="237"/>
      <c r="E183" s="237"/>
      <c r="F183" s="237"/>
      <c r="G183" s="237"/>
    </row>
    <row r="184" spans="1:7" s="186" customFormat="1" ht="12.75" customHeight="1" hidden="1">
      <c r="A184" s="185"/>
      <c r="B184" s="188"/>
      <c r="C184" s="235"/>
      <c r="D184" s="237"/>
      <c r="E184" s="237"/>
      <c r="F184" s="237"/>
      <c r="G184" s="237"/>
    </row>
    <row r="185" spans="1:7" s="186" customFormat="1" ht="18" customHeight="1" hidden="1">
      <c r="A185" s="185"/>
      <c r="B185" s="188"/>
      <c r="C185" s="235"/>
      <c r="D185" s="237"/>
      <c r="E185" s="195"/>
      <c r="F185" s="195"/>
      <c r="G185" s="195"/>
    </row>
    <row r="186" spans="1:7" s="186" customFormat="1" ht="15.75" customHeight="1" thickBot="1">
      <c r="A186" s="185"/>
      <c r="B186" s="188"/>
      <c r="C186" s="235"/>
      <c r="D186" s="237"/>
      <c r="E186" s="202"/>
      <c r="F186" s="202"/>
      <c r="G186" s="202"/>
    </row>
    <row r="187" spans="1:7" s="186" customFormat="1" ht="15.75">
      <c r="A187" s="206" t="s">
        <v>27</v>
      </c>
      <c r="B187" s="207" t="s">
        <v>28</v>
      </c>
      <c r="C187" s="206" t="s">
        <v>30</v>
      </c>
      <c r="D187" s="206" t="s">
        <v>31</v>
      </c>
      <c r="E187" s="206" t="s">
        <v>31</v>
      </c>
      <c r="F187" s="54" t="s">
        <v>8</v>
      </c>
      <c r="G187" s="206" t="s">
        <v>304</v>
      </c>
    </row>
    <row r="188" spans="1:7" s="186" customFormat="1" ht="15.75" customHeight="1" thickBot="1">
      <c r="A188" s="208"/>
      <c r="B188" s="209"/>
      <c r="C188" s="210"/>
      <c r="D188" s="211" t="s">
        <v>33</v>
      </c>
      <c r="E188" s="211" t="s">
        <v>34</v>
      </c>
      <c r="F188" s="58" t="s">
        <v>35</v>
      </c>
      <c r="G188" s="211" t="s">
        <v>305</v>
      </c>
    </row>
    <row r="189" spans="1:7" s="186" customFormat="1" ht="16.5" thickTop="1">
      <c r="A189" s="212">
        <v>60</v>
      </c>
      <c r="B189" s="213"/>
      <c r="C189" s="214" t="s">
        <v>170</v>
      </c>
      <c r="D189" s="117"/>
      <c r="E189" s="115"/>
      <c r="F189" s="116"/>
      <c r="G189" s="117"/>
    </row>
    <row r="190" spans="1:7" s="186" customFormat="1" ht="15.75">
      <c r="A190" s="141"/>
      <c r="B190" s="218"/>
      <c r="C190" s="141"/>
      <c r="D190" s="145"/>
      <c r="E190" s="146"/>
      <c r="F190" s="144"/>
      <c r="G190" s="145"/>
    </row>
    <row r="191" spans="1:7" s="186" customFormat="1" ht="15">
      <c r="A191" s="147"/>
      <c r="B191" s="219">
        <v>1014</v>
      </c>
      <c r="C191" s="147" t="s">
        <v>427</v>
      </c>
      <c r="D191" s="65">
        <v>550</v>
      </c>
      <c r="E191" s="66">
        <v>546</v>
      </c>
      <c r="F191" s="67">
        <v>183.8</v>
      </c>
      <c r="G191" s="145">
        <f aca="true" t="shared" si="4" ref="G191:G201">(F191/E191)*100</f>
        <v>33.663003663003664</v>
      </c>
    </row>
    <row r="192" spans="1:7" s="186" customFormat="1" ht="15" customHeight="1" hidden="1">
      <c r="A192" s="276"/>
      <c r="B192" s="277">
        <v>1031</v>
      </c>
      <c r="C192" s="276" t="s">
        <v>428</v>
      </c>
      <c r="D192" s="70"/>
      <c r="E192" s="71"/>
      <c r="F192" s="72"/>
      <c r="G192" s="145" t="e">
        <f t="shared" si="4"/>
        <v>#DIV/0!</v>
      </c>
    </row>
    <row r="193" spans="1:7" s="186" customFormat="1" ht="15" hidden="1">
      <c r="A193" s="147"/>
      <c r="B193" s="219">
        <v>1036</v>
      </c>
      <c r="C193" s="147" t="s">
        <v>429</v>
      </c>
      <c r="D193" s="65">
        <v>0</v>
      </c>
      <c r="E193" s="66">
        <v>0</v>
      </c>
      <c r="F193" s="67"/>
      <c r="G193" s="145" t="e">
        <f t="shared" si="4"/>
        <v>#DIV/0!</v>
      </c>
    </row>
    <row r="194" spans="1:7" s="186" customFormat="1" ht="15" customHeight="1" hidden="1">
      <c r="A194" s="276"/>
      <c r="B194" s="277">
        <v>1037</v>
      </c>
      <c r="C194" s="276" t="s">
        <v>430</v>
      </c>
      <c r="D194" s="70">
        <v>0</v>
      </c>
      <c r="E194" s="71">
        <v>0</v>
      </c>
      <c r="F194" s="72"/>
      <c r="G194" s="145" t="e">
        <f t="shared" si="4"/>
        <v>#DIV/0!</v>
      </c>
    </row>
    <row r="195" spans="1:7" s="186" customFormat="1" ht="15" hidden="1">
      <c r="A195" s="276"/>
      <c r="B195" s="277">
        <v>1039</v>
      </c>
      <c r="C195" s="276" t="s">
        <v>431</v>
      </c>
      <c r="D195" s="70">
        <v>0</v>
      </c>
      <c r="E195" s="71"/>
      <c r="F195" s="72"/>
      <c r="G195" s="145" t="e">
        <f t="shared" si="4"/>
        <v>#DIV/0!</v>
      </c>
    </row>
    <row r="196" spans="1:7" s="186" customFormat="1" ht="15">
      <c r="A196" s="276"/>
      <c r="B196" s="277">
        <v>1070</v>
      </c>
      <c r="C196" s="276" t="s">
        <v>432</v>
      </c>
      <c r="D196" s="70">
        <v>7</v>
      </c>
      <c r="E196" s="71">
        <v>6.5</v>
      </c>
      <c r="F196" s="72">
        <v>6.5</v>
      </c>
      <c r="G196" s="145">
        <f t="shared" si="4"/>
        <v>100</v>
      </c>
    </row>
    <row r="197" spans="1:7" s="186" customFormat="1" ht="15" hidden="1">
      <c r="A197" s="276"/>
      <c r="B197" s="277">
        <v>2331</v>
      </c>
      <c r="C197" s="276" t="s">
        <v>433</v>
      </c>
      <c r="D197" s="70"/>
      <c r="E197" s="71"/>
      <c r="F197" s="67"/>
      <c r="G197" s="145" t="e">
        <f t="shared" si="4"/>
        <v>#DIV/0!</v>
      </c>
    </row>
    <row r="198" spans="1:7" s="186" customFormat="1" ht="15">
      <c r="A198" s="276"/>
      <c r="B198" s="277">
        <v>3739</v>
      </c>
      <c r="C198" s="276" t="s">
        <v>434</v>
      </c>
      <c r="D198" s="65">
        <v>50</v>
      </c>
      <c r="E198" s="66">
        <v>50</v>
      </c>
      <c r="F198" s="67">
        <v>0</v>
      </c>
      <c r="G198" s="145">
        <f t="shared" si="4"/>
        <v>0</v>
      </c>
    </row>
    <row r="199" spans="1:7" s="186" customFormat="1" ht="15">
      <c r="A199" s="147"/>
      <c r="B199" s="219">
        <v>3749</v>
      </c>
      <c r="C199" s="147" t="s">
        <v>435</v>
      </c>
      <c r="D199" s="65">
        <v>50</v>
      </c>
      <c r="E199" s="66">
        <v>50</v>
      </c>
      <c r="F199" s="67">
        <v>1.9</v>
      </c>
      <c r="G199" s="145">
        <f t="shared" si="4"/>
        <v>3.8</v>
      </c>
    </row>
    <row r="200" spans="1:7" s="186" customFormat="1" ht="15" hidden="1">
      <c r="A200" s="147"/>
      <c r="B200" s="219">
        <v>3749</v>
      </c>
      <c r="C200" s="147" t="s">
        <v>436</v>
      </c>
      <c r="D200" s="65">
        <v>0</v>
      </c>
      <c r="E200" s="66">
        <v>0</v>
      </c>
      <c r="F200" s="67"/>
      <c r="G200" s="145" t="e">
        <f t="shared" si="4"/>
        <v>#DIV/0!</v>
      </c>
    </row>
    <row r="201" spans="1:7" s="186" customFormat="1" ht="15">
      <c r="A201" s="147"/>
      <c r="B201" s="219">
        <v>6171</v>
      </c>
      <c r="C201" s="147" t="s">
        <v>437</v>
      </c>
      <c r="D201" s="65">
        <v>0</v>
      </c>
      <c r="E201" s="66">
        <v>4.5</v>
      </c>
      <c r="F201" s="67">
        <v>4.3</v>
      </c>
      <c r="G201" s="145">
        <f t="shared" si="4"/>
        <v>95.55555555555554</v>
      </c>
    </row>
    <row r="202" spans="1:7" s="186" customFormat="1" ht="15.75" thickBot="1">
      <c r="A202" s="223"/>
      <c r="B202" s="280"/>
      <c r="C202" s="223"/>
      <c r="D202" s="267"/>
      <c r="E202" s="268"/>
      <c r="F202" s="272"/>
      <c r="G202" s="267"/>
    </row>
    <row r="203" spans="1:7" s="186" customFormat="1" ht="18.75" customHeight="1" thickBot="1" thickTop="1">
      <c r="A203" s="229"/>
      <c r="B203" s="281"/>
      <c r="C203" s="282" t="s">
        <v>438</v>
      </c>
      <c r="D203" s="232">
        <f>SUM(D189:D202)</f>
        <v>657</v>
      </c>
      <c r="E203" s="233">
        <f>SUM(E189:E202)</f>
        <v>657</v>
      </c>
      <c r="F203" s="234">
        <f>SUM(F189:F202)</f>
        <v>196.50000000000003</v>
      </c>
      <c r="G203" s="232">
        <f>(F203/E203)*100</f>
        <v>29.908675799086765</v>
      </c>
    </row>
    <row r="204" spans="1:7" s="186" customFormat="1" ht="12.75" customHeight="1">
      <c r="A204" s="185"/>
      <c r="B204" s="188"/>
      <c r="C204" s="235"/>
      <c r="D204" s="237"/>
      <c r="E204" s="237"/>
      <c r="F204" s="237"/>
      <c r="G204" s="237"/>
    </row>
    <row r="205" spans="1:7" s="186" customFormat="1" ht="12.75" customHeight="1" hidden="1">
      <c r="A205" s="185"/>
      <c r="B205" s="188"/>
      <c r="C205" s="235"/>
      <c r="D205" s="237"/>
      <c r="E205" s="237"/>
      <c r="F205" s="237"/>
      <c r="G205" s="237"/>
    </row>
    <row r="206" spans="1:7" s="186" customFormat="1" ht="12.75" customHeight="1" hidden="1">
      <c r="A206" s="185"/>
      <c r="B206" s="188"/>
      <c r="C206" s="235"/>
      <c r="D206" s="237"/>
      <c r="E206" s="237"/>
      <c r="F206" s="237"/>
      <c r="G206" s="237"/>
    </row>
    <row r="207" spans="1:7" s="186" customFormat="1" ht="12.75" customHeight="1" hidden="1">
      <c r="A207" s="185"/>
      <c r="B207" s="188"/>
      <c r="C207" s="235"/>
      <c r="D207" s="237"/>
      <c r="E207" s="237"/>
      <c r="F207" s="237"/>
      <c r="G207" s="237"/>
    </row>
    <row r="208" s="186" customFormat="1" ht="12.75" customHeight="1" hidden="1">
      <c r="B208" s="238"/>
    </row>
    <row r="209" s="186" customFormat="1" ht="12.75" customHeight="1">
      <c r="B209" s="238"/>
    </row>
    <row r="210" s="186" customFormat="1" ht="12.75" customHeight="1" thickBot="1">
      <c r="B210" s="238"/>
    </row>
    <row r="211" spans="1:7" s="186" customFormat="1" ht="15.75">
      <c r="A211" s="206" t="s">
        <v>27</v>
      </c>
      <c r="B211" s="207" t="s">
        <v>28</v>
      </c>
      <c r="C211" s="206" t="s">
        <v>30</v>
      </c>
      <c r="D211" s="206" t="s">
        <v>31</v>
      </c>
      <c r="E211" s="206" t="s">
        <v>31</v>
      </c>
      <c r="F211" s="54" t="s">
        <v>8</v>
      </c>
      <c r="G211" s="206" t="s">
        <v>304</v>
      </c>
    </row>
    <row r="212" spans="1:7" s="186" customFormat="1" ht="15.75" customHeight="1" thickBot="1">
      <c r="A212" s="208"/>
      <c r="B212" s="209"/>
      <c r="C212" s="210"/>
      <c r="D212" s="211" t="s">
        <v>33</v>
      </c>
      <c r="E212" s="211" t="s">
        <v>34</v>
      </c>
      <c r="F212" s="58" t="s">
        <v>35</v>
      </c>
      <c r="G212" s="211" t="s">
        <v>305</v>
      </c>
    </row>
    <row r="213" spans="1:7" s="186" customFormat="1" ht="16.5" thickTop="1">
      <c r="A213" s="212">
        <v>80</v>
      </c>
      <c r="B213" s="212"/>
      <c r="C213" s="214" t="s">
        <v>184</v>
      </c>
      <c r="D213" s="117"/>
      <c r="E213" s="115"/>
      <c r="F213" s="116"/>
      <c r="G213" s="117"/>
    </row>
    <row r="214" spans="1:7" s="186" customFormat="1" ht="15.75">
      <c r="A214" s="141"/>
      <c r="B214" s="265"/>
      <c r="C214" s="141"/>
      <c r="D214" s="145"/>
      <c r="E214" s="146"/>
      <c r="F214" s="144"/>
      <c r="G214" s="145"/>
    </row>
    <row r="215" spans="1:7" s="186" customFormat="1" ht="15">
      <c r="A215" s="147"/>
      <c r="B215" s="266">
        <v>2219</v>
      </c>
      <c r="C215" s="147" t="s">
        <v>439</v>
      </c>
      <c r="D215" s="150">
        <v>3370</v>
      </c>
      <c r="E215" s="66">
        <v>3370</v>
      </c>
      <c r="F215" s="67">
        <v>1180.6</v>
      </c>
      <c r="G215" s="145">
        <f>(F215/E215)*100</f>
        <v>35.032640949554896</v>
      </c>
    </row>
    <row r="216" spans="1:82" s="185" customFormat="1" ht="15">
      <c r="A216" s="147"/>
      <c r="B216" s="266">
        <v>2221</v>
      </c>
      <c r="C216" s="147" t="s">
        <v>440</v>
      </c>
      <c r="D216" s="150">
        <v>17086</v>
      </c>
      <c r="E216" s="66">
        <v>17086</v>
      </c>
      <c r="F216" s="67">
        <v>5315</v>
      </c>
      <c r="G216" s="145">
        <f>(F216/E216)*100</f>
        <v>31.10733934215147</v>
      </c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86"/>
      <c r="AK216" s="186"/>
      <c r="AL216" s="186"/>
      <c r="AM216" s="186"/>
      <c r="AN216" s="186"/>
      <c r="AO216" s="186"/>
      <c r="AP216" s="186"/>
      <c r="AQ216" s="186"/>
      <c r="AR216" s="186"/>
      <c r="AS216" s="186"/>
      <c r="AT216" s="186"/>
      <c r="AU216" s="186"/>
      <c r="AV216" s="186"/>
      <c r="AW216" s="186"/>
      <c r="AX216" s="186"/>
      <c r="AY216" s="186"/>
      <c r="AZ216" s="186"/>
      <c r="BA216" s="186"/>
      <c r="BB216" s="186"/>
      <c r="BC216" s="186"/>
      <c r="BD216" s="186"/>
      <c r="BE216" s="186"/>
      <c r="BF216" s="186"/>
      <c r="BG216" s="186"/>
      <c r="BH216" s="186"/>
      <c r="BI216" s="186"/>
      <c r="BJ216" s="186"/>
      <c r="BK216" s="186"/>
      <c r="BL216" s="186"/>
      <c r="BM216" s="186"/>
      <c r="BN216" s="186"/>
      <c r="BO216" s="186"/>
      <c r="BP216" s="186"/>
      <c r="BQ216" s="186"/>
      <c r="BR216" s="186"/>
      <c r="BS216" s="186"/>
      <c r="BT216" s="186"/>
      <c r="BU216" s="186"/>
      <c r="BV216" s="186"/>
      <c r="BW216" s="186"/>
      <c r="BX216" s="186"/>
      <c r="BY216" s="186"/>
      <c r="BZ216" s="186"/>
      <c r="CA216" s="186"/>
      <c r="CB216" s="186"/>
      <c r="CC216" s="186"/>
      <c r="CD216" s="186"/>
    </row>
    <row r="217" spans="1:82" s="185" customFormat="1" ht="15">
      <c r="A217" s="147"/>
      <c r="B217" s="266">
        <v>2232</v>
      </c>
      <c r="C217" s="147" t="s">
        <v>441</v>
      </c>
      <c r="D217" s="65">
        <v>260</v>
      </c>
      <c r="E217" s="66">
        <v>260</v>
      </c>
      <c r="F217" s="67">
        <v>0</v>
      </c>
      <c r="G217" s="145">
        <f>(F217/E217)*100</f>
        <v>0</v>
      </c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6"/>
      <c r="AI217" s="186"/>
      <c r="AJ217" s="186"/>
      <c r="AK217" s="186"/>
      <c r="AL217" s="186"/>
      <c r="AM217" s="186"/>
      <c r="AN217" s="186"/>
      <c r="AO217" s="186"/>
      <c r="AP217" s="186"/>
      <c r="AQ217" s="186"/>
      <c r="AR217" s="186"/>
      <c r="AS217" s="186"/>
      <c r="AT217" s="186"/>
      <c r="AU217" s="186"/>
      <c r="AV217" s="186"/>
      <c r="AW217" s="186"/>
      <c r="AX217" s="186"/>
      <c r="AY217" s="186"/>
      <c r="AZ217" s="186"/>
      <c r="BA217" s="186"/>
      <c r="BB217" s="186"/>
      <c r="BC217" s="186"/>
      <c r="BD217" s="186"/>
      <c r="BE217" s="186"/>
      <c r="BF217" s="186"/>
      <c r="BG217" s="186"/>
      <c r="BH217" s="186"/>
      <c r="BI217" s="186"/>
      <c r="BJ217" s="186"/>
      <c r="BK217" s="186"/>
      <c r="BL217" s="186"/>
      <c r="BM217" s="186"/>
      <c r="BN217" s="186"/>
      <c r="BO217" s="186"/>
      <c r="BP217" s="186"/>
      <c r="BQ217" s="186"/>
      <c r="BR217" s="186"/>
      <c r="BS217" s="186"/>
      <c r="BT217" s="186"/>
      <c r="BU217" s="186"/>
      <c r="BV217" s="186"/>
      <c r="BW217" s="186"/>
      <c r="BX217" s="186"/>
      <c r="BY217" s="186"/>
      <c r="BZ217" s="186"/>
      <c r="CA217" s="186"/>
      <c r="CB217" s="186"/>
      <c r="CC217" s="186"/>
      <c r="CD217" s="186"/>
    </row>
    <row r="218" spans="1:82" s="185" customFormat="1" ht="15">
      <c r="A218" s="276"/>
      <c r="B218" s="283">
        <v>6171</v>
      </c>
      <c r="C218" s="276" t="s">
        <v>442</v>
      </c>
      <c r="D218" s="145">
        <v>0</v>
      </c>
      <c r="E218" s="146">
        <v>0</v>
      </c>
      <c r="F218" s="144">
        <v>25.5</v>
      </c>
      <c r="G218" s="145" t="e">
        <f>(F218/E218)*100</f>
        <v>#DIV/0!</v>
      </c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  <c r="AA218" s="186"/>
      <c r="AB218" s="186"/>
      <c r="AC218" s="186"/>
      <c r="AD218" s="186"/>
      <c r="AE218" s="186"/>
      <c r="AF218" s="186"/>
      <c r="AG218" s="186"/>
      <c r="AH218" s="186"/>
      <c r="AI218" s="186"/>
      <c r="AJ218" s="186"/>
      <c r="AK218" s="186"/>
      <c r="AL218" s="186"/>
      <c r="AM218" s="186"/>
      <c r="AN218" s="186"/>
      <c r="AO218" s="186"/>
      <c r="AP218" s="186"/>
      <c r="AQ218" s="186"/>
      <c r="AR218" s="186"/>
      <c r="AS218" s="186"/>
      <c r="AT218" s="186"/>
      <c r="AU218" s="186"/>
      <c r="AV218" s="186"/>
      <c r="AW218" s="186"/>
      <c r="AX218" s="186"/>
      <c r="AY218" s="186"/>
      <c r="AZ218" s="186"/>
      <c r="BA218" s="186"/>
      <c r="BB218" s="186"/>
      <c r="BC218" s="186"/>
      <c r="BD218" s="186"/>
      <c r="BE218" s="186"/>
      <c r="BF218" s="186"/>
      <c r="BG218" s="186"/>
      <c r="BH218" s="186"/>
      <c r="BI218" s="186"/>
      <c r="BJ218" s="186"/>
      <c r="BK218" s="186"/>
      <c r="BL218" s="186"/>
      <c r="BM218" s="186"/>
      <c r="BN218" s="186"/>
      <c r="BO218" s="186"/>
      <c r="BP218" s="186"/>
      <c r="BQ218" s="186"/>
      <c r="BR218" s="186"/>
      <c r="BS218" s="186"/>
      <c r="BT218" s="186"/>
      <c r="BU218" s="186"/>
      <c r="BV218" s="186"/>
      <c r="BW218" s="186"/>
      <c r="BX218" s="186"/>
      <c r="BY218" s="186"/>
      <c r="BZ218" s="186"/>
      <c r="CA218" s="186"/>
      <c r="CB218" s="186"/>
      <c r="CC218" s="186"/>
      <c r="CD218" s="186"/>
    </row>
    <row r="219" spans="1:82" s="185" customFormat="1" ht="15.75" thickBot="1">
      <c r="A219" s="271"/>
      <c r="B219" s="270"/>
      <c r="C219" s="271"/>
      <c r="D219" s="226"/>
      <c r="E219" s="227"/>
      <c r="F219" s="228"/>
      <c r="G219" s="22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6"/>
      <c r="AI219" s="186"/>
      <c r="AJ219" s="186"/>
      <c r="AK219" s="186"/>
      <c r="AL219" s="186"/>
      <c r="AM219" s="186"/>
      <c r="AN219" s="186"/>
      <c r="AO219" s="186"/>
      <c r="AP219" s="186"/>
      <c r="AQ219" s="186"/>
      <c r="AR219" s="186"/>
      <c r="AS219" s="186"/>
      <c r="AT219" s="186"/>
      <c r="AU219" s="186"/>
      <c r="AV219" s="186"/>
      <c r="AW219" s="186"/>
      <c r="AX219" s="186"/>
      <c r="AY219" s="186"/>
      <c r="AZ219" s="186"/>
      <c r="BA219" s="186"/>
      <c r="BB219" s="186"/>
      <c r="BC219" s="186"/>
      <c r="BD219" s="186"/>
      <c r="BE219" s="186"/>
      <c r="BF219" s="186"/>
      <c r="BG219" s="186"/>
      <c r="BH219" s="186"/>
      <c r="BI219" s="186"/>
      <c r="BJ219" s="186"/>
      <c r="BK219" s="186"/>
      <c r="BL219" s="186"/>
      <c r="BM219" s="186"/>
      <c r="BN219" s="186"/>
      <c r="BO219" s="186"/>
      <c r="BP219" s="186"/>
      <c r="BQ219" s="186"/>
      <c r="BR219" s="186"/>
      <c r="BS219" s="186"/>
      <c r="BT219" s="186"/>
      <c r="BU219" s="186"/>
      <c r="BV219" s="186"/>
      <c r="BW219" s="186"/>
      <c r="BX219" s="186"/>
      <c r="BY219" s="186"/>
      <c r="BZ219" s="186"/>
      <c r="CA219" s="186"/>
      <c r="CB219" s="186"/>
      <c r="CC219" s="186"/>
      <c r="CD219" s="186"/>
    </row>
    <row r="220" spans="1:82" s="185" customFormat="1" ht="18.75" customHeight="1" thickBot="1" thickTop="1">
      <c r="A220" s="229"/>
      <c r="B220" s="284"/>
      <c r="C220" s="282" t="s">
        <v>443</v>
      </c>
      <c r="D220" s="232">
        <f>SUM(D215:D218)</f>
        <v>20716</v>
      </c>
      <c r="E220" s="233">
        <f>SUM(E215:E218)</f>
        <v>20716</v>
      </c>
      <c r="F220" s="234">
        <f>SUM(F215:F218)</f>
        <v>6521.1</v>
      </c>
      <c r="G220" s="232">
        <f>(F220/E220)*100</f>
        <v>31.478567290982816</v>
      </c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6"/>
      <c r="AE220" s="186"/>
      <c r="AF220" s="186"/>
      <c r="AG220" s="186"/>
      <c r="AH220" s="186"/>
      <c r="AI220" s="186"/>
      <c r="AJ220" s="186"/>
      <c r="AK220" s="186"/>
      <c r="AL220" s="186"/>
      <c r="AM220" s="186"/>
      <c r="AN220" s="186"/>
      <c r="AO220" s="186"/>
      <c r="AP220" s="186"/>
      <c r="AQ220" s="186"/>
      <c r="AR220" s="186"/>
      <c r="AS220" s="186"/>
      <c r="AT220" s="186"/>
      <c r="AU220" s="186"/>
      <c r="AV220" s="186"/>
      <c r="AW220" s="186"/>
      <c r="AX220" s="186"/>
      <c r="AY220" s="186"/>
      <c r="AZ220" s="186"/>
      <c r="BA220" s="186"/>
      <c r="BB220" s="186"/>
      <c r="BC220" s="186"/>
      <c r="BD220" s="186"/>
      <c r="BE220" s="186"/>
      <c r="BF220" s="186"/>
      <c r="BG220" s="186"/>
      <c r="BH220" s="186"/>
      <c r="BI220" s="186"/>
      <c r="BJ220" s="186"/>
      <c r="BK220" s="186"/>
      <c r="BL220" s="186"/>
      <c r="BM220" s="186"/>
      <c r="BN220" s="186"/>
      <c r="BO220" s="186"/>
      <c r="BP220" s="186"/>
      <c r="BQ220" s="186"/>
      <c r="BR220" s="186"/>
      <c r="BS220" s="186"/>
      <c r="BT220" s="186"/>
      <c r="BU220" s="186"/>
      <c r="BV220" s="186"/>
      <c r="BW220" s="186"/>
      <c r="BX220" s="186"/>
      <c r="BY220" s="186"/>
      <c r="BZ220" s="186"/>
      <c r="CA220" s="186"/>
      <c r="CB220" s="186"/>
      <c r="CC220" s="186"/>
      <c r="CD220" s="186"/>
    </row>
    <row r="221" spans="2:82" s="185" customFormat="1" ht="15.75" customHeight="1">
      <c r="B221" s="188"/>
      <c r="C221" s="235"/>
      <c r="D221" s="237"/>
      <c r="E221" s="237"/>
      <c r="F221" s="237"/>
      <c r="G221" s="237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  <c r="AA221" s="186"/>
      <c r="AB221" s="186"/>
      <c r="AC221" s="186"/>
      <c r="AD221" s="186"/>
      <c r="AE221" s="186"/>
      <c r="AF221" s="186"/>
      <c r="AG221" s="186"/>
      <c r="AH221" s="186"/>
      <c r="AI221" s="186"/>
      <c r="AJ221" s="186"/>
      <c r="AK221" s="186"/>
      <c r="AL221" s="186"/>
      <c r="AM221" s="186"/>
      <c r="AN221" s="186"/>
      <c r="AO221" s="186"/>
      <c r="AP221" s="186"/>
      <c r="AQ221" s="186"/>
      <c r="AR221" s="186"/>
      <c r="AS221" s="186"/>
      <c r="AT221" s="186"/>
      <c r="AU221" s="186"/>
      <c r="AV221" s="186"/>
      <c r="AW221" s="186"/>
      <c r="AX221" s="186"/>
      <c r="AY221" s="186"/>
      <c r="AZ221" s="186"/>
      <c r="BA221" s="186"/>
      <c r="BB221" s="186"/>
      <c r="BC221" s="186"/>
      <c r="BD221" s="186"/>
      <c r="BE221" s="186"/>
      <c r="BF221" s="186"/>
      <c r="BG221" s="186"/>
      <c r="BH221" s="186"/>
      <c r="BI221" s="186"/>
      <c r="BJ221" s="186"/>
      <c r="BK221" s="186"/>
      <c r="BL221" s="186"/>
      <c r="BM221" s="186"/>
      <c r="BN221" s="186"/>
      <c r="BO221" s="186"/>
      <c r="BP221" s="186"/>
      <c r="BQ221" s="186"/>
      <c r="BR221" s="186"/>
      <c r="BS221" s="186"/>
      <c r="BT221" s="186"/>
      <c r="BU221" s="186"/>
      <c r="BV221" s="186"/>
      <c r="BW221" s="186"/>
      <c r="BX221" s="186"/>
      <c r="BY221" s="186"/>
      <c r="BZ221" s="186"/>
      <c r="CA221" s="186"/>
      <c r="CB221" s="186"/>
      <c r="CC221" s="186"/>
      <c r="CD221" s="186"/>
    </row>
    <row r="222" spans="2:82" s="185" customFormat="1" ht="12.75" customHeight="1" hidden="1">
      <c r="B222" s="188"/>
      <c r="C222" s="235"/>
      <c r="D222" s="237"/>
      <c r="E222" s="237"/>
      <c r="F222" s="237"/>
      <c r="G222" s="237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6"/>
      <c r="AM222" s="186"/>
      <c r="AN222" s="186"/>
      <c r="AO222" s="186"/>
      <c r="AP222" s="186"/>
      <c r="AQ222" s="186"/>
      <c r="AR222" s="186"/>
      <c r="AS222" s="186"/>
      <c r="AT222" s="186"/>
      <c r="AU222" s="186"/>
      <c r="AV222" s="186"/>
      <c r="AW222" s="186"/>
      <c r="AX222" s="186"/>
      <c r="AY222" s="186"/>
      <c r="AZ222" s="186"/>
      <c r="BA222" s="186"/>
      <c r="BB222" s="186"/>
      <c r="BC222" s="186"/>
      <c r="BD222" s="186"/>
      <c r="BE222" s="186"/>
      <c r="BF222" s="186"/>
      <c r="BG222" s="186"/>
      <c r="BH222" s="186"/>
      <c r="BI222" s="186"/>
      <c r="BJ222" s="186"/>
      <c r="BK222" s="186"/>
      <c r="BL222" s="186"/>
      <c r="BM222" s="186"/>
      <c r="BN222" s="186"/>
      <c r="BO222" s="186"/>
      <c r="BP222" s="186"/>
      <c r="BQ222" s="186"/>
      <c r="BR222" s="186"/>
      <c r="BS222" s="186"/>
      <c r="BT222" s="186"/>
      <c r="BU222" s="186"/>
      <c r="BV222" s="186"/>
      <c r="BW222" s="186"/>
      <c r="BX222" s="186"/>
      <c r="BY222" s="186"/>
      <c r="BZ222" s="186"/>
      <c r="CA222" s="186"/>
      <c r="CB222" s="186"/>
      <c r="CC222" s="186"/>
      <c r="CD222" s="186"/>
    </row>
    <row r="223" spans="2:82" s="185" customFormat="1" ht="12.75" customHeight="1" hidden="1">
      <c r="B223" s="188"/>
      <c r="C223" s="235"/>
      <c r="D223" s="237"/>
      <c r="E223" s="237"/>
      <c r="F223" s="237"/>
      <c r="G223" s="237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  <c r="AL223" s="186"/>
      <c r="AM223" s="186"/>
      <c r="AN223" s="186"/>
      <c r="AO223" s="186"/>
      <c r="AP223" s="186"/>
      <c r="AQ223" s="186"/>
      <c r="AR223" s="186"/>
      <c r="AS223" s="186"/>
      <c r="AT223" s="186"/>
      <c r="AU223" s="186"/>
      <c r="AV223" s="186"/>
      <c r="AW223" s="186"/>
      <c r="AX223" s="186"/>
      <c r="AY223" s="186"/>
      <c r="AZ223" s="186"/>
      <c r="BA223" s="186"/>
      <c r="BB223" s="186"/>
      <c r="BC223" s="186"/>
      <c r="BD223" s="186"/>
      <c r="BE223" s="186"/>
      <c r="BF223" s="186"/>
      <c r="BG223" s="186"/>
      <c r="BH223" s="186"/>
      <c r="BI223" s="186"/>
      <c r="BJ223" s="186"/>
      <c r="BK223" s="186"/>
      <c r="BL223" s="186"/>
      <c r="BM223" s="186"/>
      <c r="BN223" s="186"/>
      <c r="BO223" s="186"/>
      <c r="BP223" s="186"/>
      <c r="BQ223" s="186"/>
      <c r="BR223" s="186"/>
      <c r="BS223" s="186"/>
      <c r="BT223" s="186"/>
      <c r="BU223" s="186"/>
      <c r="BV223" s="186"/>
      <c r="BW223" s="186"/>
      <c r="BX223" s="186"/>
      <c r="BY223" s="186"/>
      <c r="BZ223" s="186"/>
      <c r="CA223" s="186"/>
      <c r="CB223" s="186"/>
      <c r="CC223" s="186"/>
      <c r="CD223" s="186"/>
    </row>
    <row r="224" spans="2:82" s="185" customFormat="1" ht="12.75" customHeight="1" hidden="1">
      <c r="B224" s="188"/>
      <c r="C224" s="235"/>
      <c r="D224" s="237"/>
      <c r="E224" s="237"/>
      <c r="F224" s="237"/>
      <c r="G224" s="237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  <c r="AA224" s="186"/>
      <c r="AB224" s="186"/>
      <c r="AC224" s="186"/>
      <c r="AD224" s="186"/>
      <c r="AE224" s="186"/>
      <c r="AF224" s="186"/>
      <c r="AG224" s="186"/>
      <c r="AH224" s="186"/>
      <c r="AI224" s="186"/>
      <c r="AJ224" s="186"/>
      <c r="AK224" s="186"/>
      <c r="AL224" s="186"/>
      <c r="AM224" s="186"/>
      <c r="AN224" s="186"/>
      <c r="AO224" s="186"/>
      <c r="AP224" s="186"/>
      <c r="AQ224" s="186"/>
      <c r="AR224" s="186"/>
      <c r="AS224" s="186"/>
      <c r="AT224" s="186"/>
      <c r="AU224" s="186"/>
      <c r="AV224" s="186"/>
      <c r="AW224" s="186"/>
      <c r="AX224" s="186"/>
      <c r="AY224" s="186"/>
      <c r="AZ224" s="186"/>
      <c r="BA224" s="186"/>
      <c r="BB224" s="186"/>
      <c r="BC224" s="186"/>
      <c r="BD224" s="186"/>
      <c r="BE224" s="186"/>
      <c r="BF224" s="186"/>
      <c r="BG224" s="186"/>
      <c r="BH224" s="186"/>
      <c r="BI224" s="186"/>
      <c r="BJ224" s="186"/>
      <c r="BK224" s="186"/>
      <c r="BL224" s="186"/>
      <c r="BM224" s="186"/>
      <c r="BN224" s="186"/>
      <c r="BO224" s="186"/>
      <c r="BP224" s="186"/>
      <c r="BQ224" s="186"/>
      <c r="BR224" s="186"/>
      <c r="BS224" s="186"/>
      <c r="BT224" s="186"/>
      <c r="BU224" s="186"/>
      <c r="BV224" s="186"/>
      <c r="BW224" s="186"/>
      <c r="BX224" s="186"/>
      <c r="BY224" s="186"/>
      <c r="BZ224" s="186"/>
      <c r="CA224" s="186"/>
      <c r="CB224" s="186"/>
      <c r="CC224" s="186"/>
      <c r="CD224" s="186"/>
    </row>
    <row r="225" spans="2:82" s="185" customFormat="1" ht="12.75" customHeight="1" hidden="1">
      <c r="B225" s="188"/>
      <c r="C225" s="235"/>
      <c r="D225" s="237"/>
      <c r="E225" s="237"/>
      <c r="F225" s="237"/>
      <c r="G225" s="237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86"/>
      <c r="AC225" s="186"/>
      <c r="AD225" s="186"/>
      <c r="AE225" s="186"/>
      <c r="AF225" s="186"/>
      <c r="AG225" s="186"/>
      <c r="AH225" s="186"/>
      <c r="AI225" s="186"/>
      <c r="AJ225" s="186"/>
      <c r="AK225" s="186"/>
      <c r="AL225" s="186"/>
      <c r="AM225" s="186"/>
      <c r="AN225" s="186"/>
      <c r="AO225" s="186"/>
      <c r="AP225" s="186"/>
      <c r="AQ225" s="186"/>
      <c r="AR225" s="186"/>
      <c r="AS225" s="186"/>
      <c r="AT225" s="186"/>
      <c r="AU225" s="186"/>
      <c r="AV225" s="186"/>
      <c r="AW225" s="186"/>
      <c r="AX225" s="186"/>
      <c r="AY225" s="186"/>
      <c r="AZ225" s="186"/>
      <c r="BA225" s="186"/>
      <c r="BB225" s="186"/>
      <c r="BC225" s="186"/>
      <c r="BD225" s="186"/>
      <c r="BE225" s="186"/>
      <c r="BF225" s="186"/>
      <c r="BG225" s="186"/>
      <c r="BH225" s="186"/>
      <c r="BI225" s="186"/>
      <c r="BJ225" s="186"/>
      <c r="BK225" s="186"/>
      <c r="BL225" s="186"/>
      <c r="BM225" s="186"/>
      <c r="BN225" s="186"/>
      <c r="BO225" s="186"/>
      <c r="BP225" s="186"/>
      <c r="BQ225" s="186"/>
      <c r="BR225" s="186"/>
      <c r="BS225" s="186"/>
      <c r="BT225" s="186"/>
      <c r="BU225" s="186"/>
      <c r="BV225" s="186"/>
      <c r="BW225" s="186"/>
      <c r="BX225" s="186"/>
      <c r="BY225" s="186"/>
      <c r="BZ225" s="186"/>
      <c r="CA225" s="186"/>
      <c r="CB225" s="186"/>
      <c r="CC225" s="186"/>
      <c r="CD225" s="186"/>
    </row>
    <row r="226" spans="2:82" s="185" customFormat="1" ht="12.75" customHeight="1" hidden="1">
      <c r="B226" s="188"/>
      <c r="C226" s="235"/>
      <c r="D226" s="237"/>
      <c r="E226" s="237"/>
      <c r="F226" s="237"/>
      <c r="G226" s="237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  <c r="AA226" s="186"/>
      <c r="AB226" s="186"/>
      <c r="AC226" s="186"/>
      <c r="AD226" s="186"/>
      <c r="AE226" s="186"/>
      <c r="AF226" s="186"/>
      <c r="AG226" s="186"/>
      <c r="AH226" s="186"/>
      <c r="AI226" s="186"/>
      <c r="AJ226" s="186"/>
      <c r="AK226" s="186"/>
      <c r="AL226" s="186"/>
      <c r="AM226" s="186"/>
      <c r="AN226" s="186"/>
      <c r="AO226" s="186"/>
      <c r="AP226" s="186"/>
      <c r="AQ226" s="186"/>
      <c r="AR226" s="186"/>
      <c r="AS226" s="186"/>
      <c r="AT226" s="186"/>
      <c r="AU226" s="186"/>
      <c r="AV226" s="186"/>
      <c r="AW226" s="186"/>
      <c r="AX226" s="186"/>
      <c r="AY226" s="186"/>
      <c r="AZ226" s="186"/>
      <c r="BA226" s="186"/>
      <c r="BB226" s="186"/>
      <c r="BC226" s="186"/>
      <c r="BD226" s="186"/>
      <c r="BE226" s="186"/>
      <c r="BF226" s="186"/>
      <c r="BG226" s="186"/>
      <c r="BH226" s="186"/>
      <c r="BI226" s="186"/>
      <c r="BJ226" s="186"/>
      <c r="BK226" s="186"/>
      <c r="BL226" s="186"/>
      <c r="BM226" s="186"/>
      <c r="BN226" s="186"/>
      <c r="BO226" s="186"/>
      <c r="BP226" s="186"/>
      <c r="BQ226" s="186"/>
      <c r="BR226" s="186"/>
      <c r="BS226" s="186"/>
      <c r="BT226" s="186"/>
      <c r="BU226" s="186"/>
      <c r="BV226" s="186"/>
      <c r="BW226" s="186"/>
      <c r="BX226" s="186"/>
      <c r="BY226" s="186"/>
      <c r="BZ226" s="186"/>
      <c r="CA226" s="186"/>
      <c r="CB226" s="186"/>
      <c r="CC226" s="186"/>
      <c r="CD226" s="186"/>
    </row>
    <row r="227" spans="2:82" s="185" customFormat="1" ht="12.75" customHeight="1" hidden="1">
      <c r="B227" s="188"/>
      <c r="C227" s="235"/>
      <c r="D227" s="237"/>
      <c r="E227" s="237"/>
      <c r="F227" s="237"/>
      <c r="G227" s="237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6"/>
      <c r="AK227" s="186"/>
      <c r="AL227" s="186"/>
      <c r="AM227" s="186"/>
      <c r="AN227" s="186"/>
      <c r="AO227" s="186"/>
      <c r="AP227" s="186"/>
      <c r="AQ227" s="186"/>
      <c r="AR227" s="186"/>
      <c r="AS227" s="186"/>
      <c r="AT227" s="186"/>
      <c r="AU227" s="186"/>
      <c r="AV227" s="186"/>
      <c r="AW227" s="186"/>
      <c r="AX227" s="186"/>
      <c r="AY227" s="186"/>
      <c r="AZ227" s="186"/>
      <c r="BA227" s="186"/>
      <c r="BB227" s="186"/>
      <c r="BC227" s="186"/>
      <c r="BD227" s="186"/>
      <c r="BE227" s="186"/>
      <c r="BF227" s="186"/>
      <c r="BG227" s="186"/>
      <c r="BH227" s="186"/>
      <c r="BI227" s="186"/>
      <c r="BJ227" s="186"/>
      <c r="BK227" s="186"/>
      <c r="BL227" s="186"/>
      <c r="BM227" s="186"/>
      <c r="BN227" s="186"/>
      <c r="BO227" s="186"/>
      <c r="BP227" s="186"/>
      <c r="BQ227" s="186"/>
      <c r="BR227" s="186"/>
      <c r="BS227" s="186"/>
      <c r="BT227" s="186"/>
      <c r="BU227" s="186"/>
      <c r="BV227" s="186"/>
      <c r="BW227" s="186"/>
      <c r="BX227" s="186"/>
      <c r="BY227" s="186"/>
      <c r="BZ227" s="186"/>
      <c r="CA227" s="186"/>
      <c r="CB227" s="186"/>
      <c r="CC227" s="186"/>
      <c r="CD227" s="186"/>
    </row>
    <row r="228" spans="2:82" s="185" customFormat="1" ht="12.75" customHeight="1" hidden="1">
      <c r="B228" s="188"/>
      <c r="C228" s="235"/>
      <c r="D228" s="237"/>
      <c r="E228" s="237"/>
      <c r="F228" s="237"/>
      <c r="G228" s="237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6"/>
      <c r="AJ228" s="186"/>
      <c r="AK228" s="186"/>
      <c r="AL228" s="186"/>
      <c r="AM228" s="186"/>
      <c r="AN228" s="186"/>
      <c r="AO228" s="186"/>
      <c r="AP228" s="186"/>
      <c r="AQ228" s="186"/>
      <c r="AR228" s="186"/>
      <c r="AS228" s="186"/>
      <c r="AT228" s="186"/>
      <c r="AU228" s="186"/>
      <c r="AV228" s="186"/>
      <c r="AW228" s="186"/>
      <c r="AX228" s="186"/>
      <c r="AY228" s="186"/>
      <c r="AZ228" s="186"/>
      <c r="BA228" s="186"/>
      <c r="BB228" s="186"/>
      <c r="BC228" s="186"/>
      <c r="BD228" s="186"/>
      <c r="BE228" s="186"/>
      <c r="BF228" s="186"/>
      <c r="BG228" s="186"/>
      <c r="BH228" s="186"/>
      <c r="BI228" s="186"/>
      <c r="BJ228" s="186"/>
      <c r="BK228" s="186"/>
      <c r="BL228" s="186"/>
      <c r="BM228" s="186"/>
      <c r="BN228" s="186"/>
      <c r="BO228" s="186"/>
      <c r="BP228" s="186"/>
      <c r="BQ228" s="186"/>
      <c r="BR228" s="186"/>
      <c r="BS228" s="186"/>
      <c r="BT228" s="186"/>
      <c r="BU228" s="186"/>
      <c r="BV228" s="186"/>
      <c r="BW228" s="186"/>
      <c r="BX228" s="186"/>
      <c r="BY228" s="186"/>
      <c r="BZ228" s="186"/>
      <c r="CA228" s="186"/>
      <c r="CB228" s="186"/>
      <c r="CC228" s="186"/>
      <c r="CD228" s="186"/>
    </row>
    <row r="229" spans="2:82" s="185" customFormat="1" ht="15.75" customHeight="1" hidden="1">
      <c r="B229" s="188"/>
      <c r="C229" s="235"/>
      <c r="D229" s="237"/>
      <c r="E229" s="195"/>
      <c r="F229" s="195"/>
      <c r="G229" s="195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6"/>
      <c r="AK229" s="186"/>
      <c r="AL229" s="186"/>
      <c r="AM229" s="186"/>
      <c r="AN229" s="186"/>
      <c r="AO229" s="186"/>
      <c r="AP229" s="186"/>
      <c r="AQ229" s="186"/>
      <c r="AR229" s="186"/>
      <c r="AS229" s="186"/>
      <c r="AT229" s="186"/>
      <c r="AU229" s="186"/>
      <c r="AV229" s="186"/>
      <c r="AW229" s="186"/>
      <c r="AX229" s="186"/>
      <c r="AY229" s="186"/>
      <c r="AZ229" s="186"/>
      <c r="BA229" s="186"/>
      <c r="BB229" s="186"/>
      <c r="BC229" s="186"/>
      <c r="BD229" s="186"/>
      <c r="BE229" s="186"/>
      <c r="BF229" s="186"/>
      <c r="BG229" s="186"/>
      <c r="BH229" s="186"/>
      <c r="BI229" s="186"/>
      <c r="BJ229" s="186"/>
      <c r="BK229" s="186"/>
      <c r="BL229" s="186"/>
      <c r="BM229" s="186"/>
      <c r="BN229" s="186"/>
      <c r="BO229" s="186"/>
      <c r="BP229" s="186"/>
      <c r="BQ229" s="186"/>
      <c r="BR229" s="186"/>
      <c r="BS229" s="186"/>
      <c r="BT229" s="186"/>
      <c r="BU229" s="186"/>
      <c r="BV229" s="186"/>
      <c r="BW229" s="186"/>
      <c r="BX229" s="186"/>
      <c r="BY229" s="186"/>
      <c r="BZ229" s="186"/>
      <c r="CA229" s="186"/>
      <c r="CB229" s="186"/>
      <c r="CC229" s="186"/>
      <c r="CD229" s="186"/>
    </row>
    <row r="230" spans="2:82" s="185" customFormat="1" ht="15.75" customHeight="1" hidden="1">
      <c r="B230" s="188"/>
      <c r="C230" s="235"/>
      <c r="D230" s="237"/>
      <c r="E230" s="237"/>
      <c r="F230" s="237"/>
      <c r="G230" s="237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6"/>
      <c r="AS230" s="186"/>
      <c r="AT230" s="186"/>
      <c r="AU230" s="186"/>
      <c r="AV230" s="186"/>
      <c r="AW230" s="186"/>
      <c r="AX230" s="186"/>
      <c r="AY230" s="186"/>
      <c r="AZ230" s="186"/>
      <c r="BA230" s="186"/>
      <c r="BB230" s="186"/>
      <c r="BC230" s="186"/>
      <c r="BD230" s="186"/>
      <c r="BE230" s="186"/>
      <c r="BF230" s="186"/>
      <c r="BG230" s="186"/>
      <c r="BH230" s="186"/>
      <c r="BI230" s="186"/>
      <c r="BJ230" s="186"/>
      <c r="BK230" s="186"/>
      <c r="BL230" s="186"/>
      <c r="BM230" s="186"/>
      <c r="BN230" s="186"/>
      <c r="BO230" s="186"/>
      <c r="BP230" s="186"/>
      <c r="BQ230" s="186"/>
      <c r="BR230" s="186"/>
      <c r="BS230" s="186"/>
      <c r="BT230" s="186"/>
      <c r="BU230" s="186"/>
      <c r="BV230" s="186"/>
      <c r="BW230" s="186"/>
      <c r="BX230" s="186"/>
      <c r="BY230" s="186"/>
      <c r="BZ230" s="186"/>
      <c r="CA230" s="186"/>
      <c r="CB230" s="186"/>
      <c r="CC230" s="186"/>
      <c r="CD230" s="186"/>
    </row>
    <row r="231" spans="2:82" s="185" customFormat="1" ht="15.75" customHeight="1" thickBot="1">
      <c r="B231" s="188"/>
      <c r="C231" s="235"/>
      <c r="D231" s="237"/>
      <c r="E231" s="202"/>
      <c r="F231" s="202"/>
      <c r="G231" s="202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6"/>
      <c r="AK231" s="186"/>
      <c r="AL231" s="186"/>
      <c r="AM231" s="186"/>
      <c r="AN231" s="186"/>
      <c r="AO231" s="186"/>
      <c r="AP231" s="186"/>
      <c r="AQ231" s="186"/>
      <c r="AR231" s="186"/>
      <c r="AS231" s="186"/>
      <c r="AT231" s="186"/>
      <c r="AU231" s="186"/>
      <c r="AV231" s="186"/>
      <c r="AW231" s="186"/>
      <c r="AX231" s="186"/>
      <c r="AY231" s="186"/>
      <c r="AZ231" s="186"/>
      <c r="BA231" s="186"/>
      <c r="BB231" s="186"/>
      <c r="BC231" s="186"/>
      <c r="BD231" s="186"/>
      <c r="BE231" s="186"/>
      <c r="BF231" s="186"/>
      <c r="BG231" s="186"/>
      <c r="BH231" s="186"/>
      <c r="BI231" s="186"/>
      <c r="BJ231" s="186"/>
      <c r="BK231" s="186"/>
      <c r="BL231" s="186"/>
      <c r="BM231" s="186"/>
      <c r="BN231" s="186"/>
      <c r="BO231" s="186"/>
      <c r="BP231" s="186"/>
      <c r="BQ231" s="186"/>
      <c r="BR231" s="186"/>
      <c r="BS231" s="186"/>
      <c r="BT231" s="186"/>
      <c r="BU231" s="186"/>
      <c r="BV231" s="186"/>
      <c r="BW231" s="186"/>
      <c r="BX231" s="186"/>
      <c r="BY231" s="186"/>
      <c r="BZ231" s="186"/>
      <c r="CA231" s="186"/>
      <c r="CB231" s="186"/>
      <c r="CC231" s="186"/>
      <c r="CD231" s="186"/>
    </row>
    <row r="232" spans="1:82" s="185" customFormat="1" ht="15.75" customHeight="1">
      <c r="A232" s="206" t="s">
        <v>27</v>
      </c>
      <c r="B232" s="207" t="s">
        <v>28</v>
      </c>
      <c r="C232" s="206" t="s">
        <v>30</v>
      </c>
      <c r="D232" s="206" t="s">
        <v>31</v>
      </c>
      <c r="E232" s="206" t="s">
        <v>31</v>
      </c>
      <c r="F232" s="54" t="s">
        <v>8</v>
      </c>
      <c r="G232" s="206" t="s">
        <v>304</v>
      </c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6"/>
      <c r="AI232" s="186"/>
      <c r="AJ232" s="186"/>
      <c r="AK232" s="186"/>
      <c r="AL232" s="186"/>
      <c r="AM232" s="186"/>
      <c r="AN232" s="186"/>
      <c r="AO232" s="186"/>
      <c r="AP232" s="186"/>
      <c r="AQ232" s="186"/>
      <c r="AR232" s="186"/>
      <c r="AS232" s="186"/>
      <c r="AT232" s="186"/>
      <c r="AU232" s="186"/>
      <c r="AV232" s="186"/>
      <c r="AW232" s="186"/>
      <c r="AX232" s="186"/>
      <c r="AY232" s="186"/>
      <c r="AZ232" s="186"/>
      <c r="BA232" s="186"/>
      <c r="BB232" s="186"/>
      <c r="BC232" s="186"/>
      <c r="BD232" s="186"/>
      <c r="BE232" s="186"/>
      <c r="BF232" s="186"/>
      <c r="BG232" s="186"/>
      <c r="BH232" s="186"/>
      <c r="BI232" s="186"/>
      <c r="BJ232" s="186"/>
      <c r="BK232" s="186"/>
      <c r="BL232" s="186"/>
      <c r="BM232" s="186"/>
      <c r="BN232" s="186"/>
      <c r="BO232" s="186"/>
      <c r="BP232" s="186"/>
      <c r="BQ232" s="186"/>
      <c r="BR232" s="186"/>
      <c r="BS232" s="186"/>
      <c r="BT232" s="186"/>
      <c r="BU232" s="186"/>
      <c r="BV232" s="186"/>
      <c r="BW232" s="186"/>
      <c r="BX232" s="186"/>
      <c r="BY232" s="186"/>
      <c r="BZ232" s="186"/>
      <c r="CA232" s="186"/>
      <c r="CB232" s="186"/>
      <c r="CC232" s="186"/>
      <c r="CD232" s="186"/>
    </row>
    <row r="233" spans="1:7" s="186" customFormat="1" ht="15.75" customHeight="1" thickBot="1">
      <c r="A233" s="208"/>
      <c r="B233" s="209"/>
      <c r="C233" s="210"/>
      <c r="D233" s="211" t="s">
        <v>33</v>
      </c>
      <c r="E233" s="211" t="s">
        <v>34</v>
      </c>
      <c r="F233" s="58" t="s">
        <v>35</v>
      </c>
      <c r="G233" s="211" t="s">
        <v>305</v>
      </c>
    </row>
    <row r="234" spans="1:7" s="186" customFormat="1" ht="16.5" thickTop="1">
      <c r="A234" s="212">
        <v>90</v>
      </c>
      <c r="B234" s="212"/>
      <c r="C234" s="214" t="s">
        <v>196</v>
      </c>
      <c r="D234" s="117"/>
      <c r="E234" s="115"/>
      <c r="F234" s="116"/>
      <c r="G234" s="117"/>
    </row>
    <row r="235" spans="1:7" s="186" customFormat="1" ht="15.75">
      <c r="A235" s="141"/>
      <c r="B235" s="265"/>
      <c r="C235" s="141"/>
      <c r="D235" s="145"/>
      <c r="E235" s="146"/>
      <c r="F235" s="144"/>
      <c r="G235" s="145"/>
    </row>
    <row r="236" spans="1:7" s="186" customFormat="1" ht="15">
      <c r="A236" s="147"/>
      <c r="B236" s="266">
        <v>5311</v>
      </c>
      <c r="C236" s="147" t="s">
        <v>444</v>
      </c>
      <c r="D236" s="145">
        <v>18862</v>
      </c>
      <c r="E236" s="146">
        <v>18862</v>
      </c>
      <c r="F236" s="144">
        <v>6369</v>
      </c>
      <c r="G236" s="145">
        <f>(F236/E236)*100</f>
        <v>33.76630261902237</v>
      </c>
    </row>
    <row r="237" spans="1:7" s="186" customFormat="1" ht="16.5" thickBot="1">
      <c r="A237" s="269"/>
      <c r="B237" s="269"/>
      <c r="C237" s="285"/>
      <c r="D237" s="286"/>
      <c r="E237" s="287"/>
      <c r="F237" s="288"/>
      <c r="G237" s="286"/>
    </row>
    <row r="238" spans="1:7" s="186" customFormat="1" ht="18.75" customHeight="1" thickBot="1" thickTop="1">
      <c r="A238" s="229"/>
      <c r="B238" s="284"/>
      <c r="C238" s="282" t="s">
        <v>445</v>
      </c>
      <c r="D238" s="232">
        <f>SUM(D234:D237)</f>
        <v>18862</v>
      </c>
      <c r="E238" s="233">
        <f>SUM(E234:E237)</f>
        <v>18862</v>
      </c>
      <c r="F238" s="234">
        <f>SUM(F234:F237)</f>
        <v>6369</v>
      </c>
      <c r="G238" s="232">
        <f>(F238/E238)*100</f>
        <v>33.76630261902237</v>
      </c>
    </row>
    <row r="239" spans="1:7" s="186" customFormat="1" ht="15.75" customHeight="1">
      <c r="A239" s="185"/>
      <c r="B239" s="188"/>
      <c r="C239" s="235"/>
      <c r="D239" s="237"/>
      <c r="E239" s="237"/>
      <c r="F239" s="237"/>
      <c r="G239" s="237"/>
    </row>
    <row r="240" spans="1:7" s="186" customFormat="1" ht="15.75" customHeight="1" thickBot="1">
      <c r="A240" s="185"/>
      <c r="B240" s="188"/>
      <c r="C240" s="235"/>
      <c r="D240" s="237"/>
      <c r="E240" s="237"/>
      <c r="F240" s="237"/>
      <c r="G240" s="237"/>
    </row>
    <row r="241" spans="1:82" s="185" customFormat="1" ht="15.75" customHeight="1">
      <c r="A241" s="206" t="s">
        <v>27</v>
      </c>
      <c r="B241" s="207" t="s">
        <v>28</v>
      </c>
      <c r="C241" s="206" t="s">
        <v>30</v>
      </c>
      <c r="D241" s="206" t="s">
        <v>31</v>
      </c>
      <c r="E241" s="206" t="s">
        <v>31</v>
      </c>
      <c r="F241" s="54" t="s">
        <v>8</v>
      </c>
      <c r="G241" s="206" t="s">
        <v>304</v>
      </c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6"/>
      <c r="AC241" s="186"/>
      <c r="AD241" s="186"/>
      <c r="AE241" s="186"/>
      <c r="AF241" s="186"/>
      <c r="AG241" s="186"/>
      <c r="AH241" s="186"/>
      <c r="AI241" s="186"/>
      <c r="AJ241" s="186"/>
      <c r="AK241" s="186"/>
      <c r="AL241" s="186"/>
      <c r="AM241" s="186"/>
      <c r="AN241" s="186"/>
      <c r="AO241" s="186"/>
      <c r="AP241" s="186"/>
      <c r="AQ241" s="186"/>
      <c r="AR241" s="186"/>
      <c r="AS241" s="186"/>
      <c r="AT241" s="186"/>
      <c r="AU241" s="186"/>
      <c r="AV241" s="186"/>
      <c r="AW241" s="186"/>
      <c r="AX241" s="186"/>
      <c r="AY241" s="186"/>
      <c r="AZ241" s="186"/>
      <c r="BA241" s="186"/>
      <c r="BB241" s="186"/>
      <c r="BC241" s="186"/>
      <c r="BD241" s="186"/>
      <c r="BE241" s="186"/>
      <c r="BF241" s="186"/>
      <c r="BG241" s="186"/>
      <c r="BH241" s="186"/>
      <c r="BI241" s="186"/>
      <c r="BJ241" s="186"/>
      <c r="BK241" s="186"/>
      <c r="BL241" s="186"/>
      <c r="BM241" s="186"/>
      <c r="BN241" s="186"/>
      <c r="BO241" s="186"/>
      <c r="BP241" s="186"/>
      <c r="BQ241" s="186"/>
      <c r="BR241" s="186"/>
      <c r="BS241" s="186"/>
      <c r="BT241" s="186"/>
      <c r="BU241" s="186"/>
      <c r="BV241" s="186"/>
      <c r="BW241" s="186"/>
      <c r="BX241" s="186"/>
      <c r="BY241" s="186"/>
      <c r="BZ241" s="186"/>
      <c r="CA241" s="186"/>
      <c r="CB241" s="186"/>
      <c r="CC241" s="186"/>
      <c r="CD241" s="186"/>
    </row>
    <row r="242" spans="1:7" s="186" customFormat="1" ht="15.75" customHeight="1" thickBot="1">
      <c r="A242" s="208"/>
      <c r="B242" s="209"/>
      <c r="C242" s="210"/>
      <c r="D242" s="211" t="s">
        <v>33</v>
      </c>
      <c r="E242" s="211" t="s">
        <v>34</v>
      </c>
      <c r="F242" s="58" t="s">
        <v>35</v>
      </c>
      <c r="G242" s="211" t="s">
        <v>305</v>
      </c>
    </row>
    <row r="243" spans="1:7" s="186" customFormat="1" ht="16.5" thickTop="1">
      <c r="A243" s="212">
        <v>100</v>
      </c>
      <c r="B243" s="212"/>
      <c r="C243" s="141" t="s">
        <v>204</v>
      </c>
      <c r="D243" s="117"/>
      <c r="E243" s="115"/>
      <c r="F243" s="116"/>
      <c r="G243" s="117"/>
    </row>
    <row r="244" spans="1:7" s="186" customFormat="1" ht="15.75">
      <c r="A244" s="141"/>
      <c r="B244" s="265"/>
      <c r="C244" s="141"/>
      <c r="D244" s="145"/>
      <c r="E244" s="146"/>
      <c r="F244" s="144"/>
      <c r="G244" s="145"/>
    </row>
    <row r="245" spans="1:7" s="186" customFormat="1" ht="15.75">
      <c r="A245" s="141"/>
      <c r="B245" s="265"/>
      <c r="C245" s="141"/>
      <c r="D245" s="145"/>
      <c r="E245" s="146"/>
      <c r="F245" s="144"/>
      <c r="G245" s="145"/>
    </row>
    <row r="246" spans="1:7" s="186" customFormat="1" ht="15.75">
      <c r="A246" s="265"/>
      <c r="B246" s="289">
        <v>2169</v>
      </c>
      <c r="C246" s="290" t="s">
        <v>446</v>
      </c>
      <c r="D246" s="100">
        <v>300</v>
      </c>
      <c r="E246" s="66">
        <v>300</v>
      </c>
      <c r="F246" s="67">
        <v>14.5</v>
      </c>
      <c r="G246" s="145">
        <f>(F246/E246)*100</f>
        <v>4.833333333333333</v>
      </c>
    </row>
    <row r="247" spans="1:7" s="186" customFormat="1" ht="16.5" thickBot="1">
      <c r="A247" s="269"/>
      <c r="B247" s="291"/>
      <c r="C247" s="292"/>
      <c r="D247" s="293"/>
      <c r="E247" s="161"/>
      <c r="F247" s="162"/>
      <c r="G247" s="145"/>
    </row>
    <row r="248" spans="1:7" s="186" customFormat="1" ht="18.75" customHeight="1" thickBot="1" thickTop="1">
      <c r="A248" s="229"/>
      <c r="B248" s="284"/>
      <c r="C248" s="282" t="s">
        <v>447</v>
      </c>
      <c r="D248" s="232">
        <f>SUM(D243:D247)</f>
        <v>300</v>
      </c>
      <c r="E248" s="233">
        <f>SUM(E243:E247)</f>
        <v>300</v>
      </c>
      <c r="F248" s="234">
        <f>SUM(F243:F247)</f>
        <v>14.5</v>
      </c>
      <c r="G248" s="232">
        <f>(F248/E248)*100</f>
        <v>4.833333333333333</v>
      </c>
    </row>
    <row r="249" spans="1:7" s="186" customFormat="1" ht="15.75" customHeight="1">
      <c r="A249" s="185"/>
      <c r="B249" s="188"/>
      <c r="C249" s="235"/>
      <c r="D249" s="237"/>
      <c r="E249" s="237"/>
      <c r="F249" s="237"/>
      <c r="G249" s="237"/>
    </row>
    <row r="250" spans="1:7" s="186" customFormat="1" ht="15.75" customHeight="1">
      <c r="A250" s="185"/>
      <c r="B250" s="188"/>
      <c r="C250" s="235"/>
      <c r="D250" s="237"/>
      <c r="E250" s="237"/>
      <c r="F250" s="237"/>
      <c r="G250" s="237"/>
    </row>
    <row r="251" s="186" customFormat="1" ht="15.75" customHeight="1" thickBot="1">
      <c r="B251" s="238"/>
    </row>
    <row r="252" spans="1:7" s="186" customFormat="1" ht="15.75">
      <c r="A252" s="206" t="s">
        <v>27</v>
      </c>
      <c r="B252" s="207" t="s">
        <v>28</v>
      </c>
      <c r="C252" s="206" t="s">
        <v>30</v>
      </c>
      <c r="D252" s="206" t="s">
        <v>31</v>
      </c>
      <c r="E252" s="206" t="s">
        <v>31</v>
      </c>
      <c r="F252" s="54" t="s">
        <v>8</v>
      </c>
      <c r="G252" s="206" t="s">
        <v>304</v>
      </c>
    </row>
    <row r="253" spans="1:7" s="186" customFormat="1" ht="15.75" customHeight="1" thickBot="1">
      <c r="A253" s="208"/>
      <c r="B253" s="209"/>
      <c r="C253" s="210"/>
      <c r="D253" s="211" t="s">
        <v>33</v>
      </c>
      <c r="E253" s="211" t="s">
        <v>34</v>
      </c>
      <c r="F253" s="58" t="s">
        <v>35</v>
      </c>
      <c r="G253" s="211" t="s">
        <v>305</v>
      </c>
    </row>
    <row r="254" spans="1:7" s="186" customFormat="1" ht="16.5" thickTop="1">
      <c r="A254" s="212">
        <v>110</v>
      </c>
      <c r="B254" s="212"/>
      <c r="C254" s="214" t="s">
        <v>209</v>
      </c>
      <c r="D254" s="117"/>
      <c r="E254" s="115"/>
      <c r="F254" s="116"/>
      <c r="G254" s="117"/>
    </row>
    <row r="255" spans="1:7" s="186" customFormat="1" ht="15" customHeight="1">
      <c r="A255" s="141"/>
      <c r="B255" s="265"/>
      <c r="C255" s="141"/>
      <c r="D255" s="145"/>
      <c r="E255" s="146"/>
      <c r="F255" s="144"/>
      <c r="G255" s="145"/>
    </row>
    <row r="256" spans="1:7" s="186" customFormat="1" ht="15" customHeight="1">
      <c r="A256" s="147"/>
      <c r="B256" s="266">
        <v>6171</v>
      </c>
      <c r="C256" s="147" t="s">
        <v>448</v>
      </c>
      <c r="D256" s="145">
        <v>0</v>
      </c>
      <c r="E256" s="146">
        <v>0</v>
      </c>
      <c r="F256" s="144">
        <v>5</v>
      </c>
      <c r="G256" s="145" t="e">
        <f aca="true" t="shared" si="5" ref="G256:G261">(F256/E256)*100</f>
        <v>#DIV/0!</v>
      </c>
    </row>
    <row r="257" spans="1:7" s="186" customFormat="1" ht="15">
      <c r="A257" s="147"/>
      <c r="B257" s="266">
        <v>6310</v>
      </c>
      <c r="C257" s="147" t="s">
        <v>449</v>
      </c>
      <c r="D257" s="145">
        <v>1910</v>
      </c>
      <c r="E257" s="146">
        <v>2210</v>
      </c>
      <c r="F257" s="144">
        <v>697.3</v>
      </c>
      <c r="G257" s="145">
        <f t="shared" si="5"/>
        <v>31.552036199095017</v>
      </c>
    </row>
    <row r="258" spans="1:7" s="186" customFormat="1" ht="15">
      <c r="A258" s="147"/>
      <c r="B258" s="266">
        <v>6399</v>
      </c>
      <c r="C258" s="147" t="s">
        <v>450</v>
      </c>
      <c r="D258" s="145">
        <v>13411</v>
      </c>
      <c r="E258" s="146">
        <v>12536.2</v>
      </c>
      <c r="F258" s="144">
        <v>10501.5</v>
      </c>
      <c r="G258" s="145">
        <f t="shared" si="5"/>
        <v>83.76940380657615</v>
      </c>
    </row>
    <row r="259" spans="1:7" s="186" customFormat="1" ht="15">
      <c r="A259" s="147"/>
      <c r="B259" s="266">
        <v>6402</v>
      </c>
      <c r="C259" s="147" t="s">
        <v>451</v>
      </c>
      <c r="D259" s="145">
        <v>0</v>
      </c>
      <c r="E259" s="146">
        <v>981.2</v>
      </c>
      <c r="F259" s="144">
        <v>981.1</v>
      </c>
      <c r="G259" s="145">
        <f t="shared" si="5"/>
        <v>99.98980839788014</v>
      </c>
    </row>
    <row r="260" spans="1:7" s="186" customFormat="1" ht="15">
      <c r="A260" s="147"/>
      <c r="B260" s="266">
        <v>6409</v>
      </c>
      <c r="C260" s="147" t="s">
        <v>452</v>
      </c>
      <c r="D260" s="145">
        <v>0</v>
      </c>
      <c r="E260" s="146">
        <v>0</v>
      </c>
      <c r="F260" s="144">
        <v>9.3</v>
      </c>
      <c r="G260" s="145" t="e">
        <f t="shared" si="5"/>
        <v>#DIV/0!</v>
      </c>
    </row>
    <row r="261" spans="1:7" s="191" customFormat="1" ht="20.25" customHeight="1">
      <c r="A261" s="214"/>
      <c r="B261" s="212">
        <v>6409</v>
      </c>
      <c r="C261" s="214" t="s">
        <v>453</v>
      </c>
      <c r="D261" s="294">
        <v>0</v>
      </c>
      <c r="E261" s="295">
        <v>0</v>
      </c>
      <c r="F261" s="244">
        <v>0</v>
      </c>
      <c r="G261" s="145" t="e">
        <f t="shared" si="5"/>
        <v>#DIV/0!</v>
      </c>
    </row>
    <row r="262" spans="1:7" s="186" customFormat="1" ht="15.75" thickBot="1">
      <c r="A262" s="271"/>
      <c r="B262" s="270"/>
      <c r="C262" s="271"/>
      <c r="D262" s="296"/>
      <c r="E262" s="297"/>
      <c r="F262" s="298"/>
      <c r="G262" s="296"/>
    </row>
    <row r="263" spans="1:7" s="186" customFormat="1" ht="18.75" customHeight="1" thickBot="1" thickTop="1">
      <c r="A263" s="229"/>
      <c r="B263" s="284"/>
      <c r="C263" s="282" t="s">
        <v>454</v>
      </c>
      <c r="D263" s="299">
        <f>SUM(D255:D261)</f>
        <v>15321</v>
      </c>
      <c r="E263" s="300">
        <f>SUM(E255:E261)</f>
        <v>15727.400000000001</v>
      </c>
      <c r="F263" s="301">
        <f>SUM(F255:F261)</f>
        <v>12194.199999999999</v>
      </c>
      <c r="G263" s="232">
        <f>(F263/E263)*100</f>
        <v>77.53474827371338</v>
      </c>
    </row>
    <row r="264" spans="1:7" s="186" customFormat="1" ht="18.75" customHeight="1">
      <c r="A264" s="185"/>
      <c r="B264" s="188"/>
      <c r="C264" s="235"/>
      <c r="D264" s="237"/>
      <c r="E264" s="237"/>
      <c r="F264" s="237"/>
      <c r="G264" s="237"/>
    </row>
    <row r="265" spans="1:7" s="186" customFormat="1" ht="13.5" customHeight="1" hidden="1">
      <c r="A265" s="185"/>
      <c r="B265" s="188"/>
      <c r="C265" s="235"/>
      <c r="D265" s="237"/>
      <c r="E265" s="237"/>
      <c r="F265" s="237"/>
      <c r="G265" s="237"/>
    </row>
    <row r="266" spans="1:7" s="186" customFormat="1" ht="13.5" customHeight="1" hidden="1">
      <c r="A266" s="185"/>
      <c r="B266" s="188"/>
      <c r="C266" s="235"/>
      <c r="D266" s="237"/>
      <c r="E266" s="237"/>
      <c r="F266" s="237"/>
      <c r="G266" s="237"/>
    </row>
    <row r="267" spans="1:7" s="186" customFormat="1" ht="13.5" customHeight="1" hidden="1">
      <c r="A267" s="185"/>
      <c r="B267" s="188"/>
      <c r="C267" s="235"/>
      <c r="D267" s="237"/>
      <c r="E267" s="237"/>
      <c r="F267" s="237"/>
      <c r="G267" s="237"/>
    </row>
    <row r="268" spans="1:7" s="186" customFormat="1" ht="13.5" customHeight="1" hidden="1">
      <c r="A268" s="185"/>
      <c r="B268" s="188"/>
      <c r="C268" s="235"/>
      <c r="D268" s="237"/>
      <c r="E268" s="237"/>
      <c r="F268" s="237"/>
      <c r="G268" s="237"/>
    </row>
    <row r="269" spans="1:7" s="186" customFormat="1" ht="13.5" customHeight="1" hidden="1">
      <c r="A269" s="185"/>
      <c r="B269" s="188"/>
      <c r="C269" s="235"/>
      <c r="D269" s="237"/>
      <c r="E269" s="237"/>
      <c r="F269" s="237"/>
      <c r="G269" s="237"/>
    </row>
    <row r="270" spans="1:7" s="186" customFormat="1" ht="16.5" customHeight="1">
      <c r="A270" s="185"/>
      <c r="B270" s="188"/>
      <c r="C270" s="235"/>
      <c r="D270" s="237"/>
      <c r="E270" s="237"/>
      <c r="F270" s="237"/>
      <c r="G270" s="237"/>
    </row>
    <row r="271" spans="1:7" s="186" customFormat="1" ht="15.75" customHeight="1" thickBot="1">
      <c r="A271" s="185"/>
      <c r="B271" s="188"/>
      <c r="C271" s="235"/>
      <c r="D271" s="237"/>
      <c r="E271" s="237"/>
      <c r="F271" s="237"/>
      <c r="G271" s="237"/>
    </row>
    <row r="272" spans="1:7" s="186" customFormat="1" ht="15.75">
      <c r="A272" s="206" t="s">
        <v>27</v>
      </c>
      <c r="B272" s="207" t="s">
        <v>28</v>
      </c>
      <c r="C272" s="206" t="s">
        <v>30</v>
      </c>
      <c r="D272" s="206" t="s">
        <v>31</v>
      </c>
      <c r="E272" s="206" t="s">
        <v>31</v>
      </c>
      <c r="F272" s="54" t="s">
        <v>8</v>
      </c>
      <c r="G272" s="206" t="s">
        <v>304</v>
      </c>
    </row>
    <row r="273" spans="1:7" s="186" customFormat="1" ht="15.75" customHeight="1" thickBot="1">
      <c r="A273" s="208"/>
      <c r="B273" s="209"/>
      <c r="C273" s="210"/>
      <c r="D273" s="211" t="s">
        <v>33</v>
      </c>
      <c r="E273" s="211" t="s">
        <v>34</v>
      </c>
      <c r="F273" s="58" t="s">
        <v>35</v>
      </c>
      <c r="G273" s="211" t="s">
        <v>305</v>
      </c>
    </row>
    <row r="274" spans="1:7" s="186" customFormat="1" ht="16.5" thickTop="1">
      <c r="A274" s="212">
        <v>120</v>
      </c>
      <c r="B274" s="212"/>
      <c r="C274" s="109" t="s">
        <v>235</v>
      </c>
      <c r="D274" s="117"/>
      <c r="E274" s="115"/>
      <c r="F274" s="116"/>
      <c r="G274" s="117"/>
    </row>
    <row r="275" spans="1:7" s="186" customFormat="1" ht="15" customHeight="1">
      <c r="A275" s="141"/>
      <c r="B275" s="265"/>
      <c r="C275" s="109"/>
      <c r="D275" s="145"/>
      <c r="E275" s="146"/>
      <c r="F275" s="144"/>
      <c r="G275" s="145"/>
    </row>
    <row r="276" spans="1:7" s="186" customFormat="1" ht="15" customHeight="1">
      <c r="A276" s="141"/>
      <c r="B276" s="265"/>
      <c r="C276" s="109"/>
      <c r="D276" s="267"/>
      <c r="E276" s="268"/>
      <c r="F276" s="272"/>
      <c r="G276" s="145"/>
    </row>
    <row r="277" spans="1:7" s="186" customFormat="1" ht="15.75">
      <c r="A277" s="141"/>
      <c r="B277" s="266">
        <v>2310</v>
      </c>
      <c r="C277" s="147" t="s">
        <v>455</v>
      </c>
      <c r="D277" s="267">
        <v>30</v>
      </c>
      <c r="E277" s="268">
        <v>30</v>
      </c>
      <c r="F277" s="272">
        <v>0</v>
      </c>
      <c r="G277" s="145">
        <f aca="true" t="shared" si="6" ref="G277:G286">(F277/E277)*100</f>
        <v>0</v>
      </c>
    </row>
    <row r="278" spans="1:7" s="186" customFormat="1" ht="15.75" customHeight="1" hidden="1">
      <c r="A278" s="141"/>
      <c r="B278" s="266">
        <v>2321</v>
      </c>
      <c r="C278" s="147" t="s">
        <v>456</v>
      </c>
      <c r="D278" s="267">
        <v>0</v>
      </c>
      <c r="E278" s="268"/>
      <c r="F278" s="272"/>
      <c r="G278" s="145" t="e">
        <f t="shared" si="6"/>
        <v>#DIV/0!</v>
      </c>
    </row>
    <row r="279" spans="1:7" s="186" customFormat="1" ht="15">
      <c r="A279" s="147"/>
      <c r="B279" s="266">
        <v>3612</v>
      </c>
      <c r="C279" s="147" t="s">
        <v>457</v>
      </c>
      <c r="D279" s="145">
        <v>11384</v>
      </c>
      <c r="E279" s="146">
        <v>11345.5</v>
      </c>
      <c r="F279" s="144">
        <v>3585.8</v>
      </c>
      <c r="G279" s="145">
        <f t="shared" si="6"/>
        <v>31.605482349830332</v>
      </c>
    </row>
    <row r="280" spans="1:7" s="186" customFormat="1" ht="15">
      <c r="A280" s="147"/>
      <c r="B280" s="266">
        <v>3613</v>
      </c>
      <c r="C280" s="147" t="s">
        <v>458</v>
      </c>
      <c r="D280" s="145">
        <v>7086</v>
      </c>
      <c r="E280" s="146">
        <v>7086</v>
      </c>
      <c r="F280" s="144">
        <v>2387</v>
      </c>
      <c r="G280" s="145">
        <f t="shared" si="6"/>
        <v>33.68614168783517</v>
      </c>
    </row>
    <row r="281" spans="1:7" s="186" customFormat="1" ht="15">
      <c r="A281" s="147"/>
      <c r="B281" s="266">
        <v>3632</v>
      </c>
      <c r="C281" s="147" t="s">
        <v>352</v>
      </c>
      <c r="D281" s="145">
        <v>792</v>
      </c>
      <c r="E281" s="146">
        <v>792</v>
      </c>
      <c r="F281" s="144">
        <v>115.4</v>
      </c>
      <c r="G281" s="145">
        <f t="shared" si="6"/>
        <v>14.570707070707071</v>
      </c>
    </row>
    <row r="282" spans="1:7" s="186" customFormat="1" ht="15">
      <c r="A282" s="147"/>
      <c r="B282" s="266">
        <v>3634</v>
      </c>
      <c r="C282" s="147" t="s">
        <v>459</v>
      </c>
      <c r="D282" s="145">
        <v>800</v>
      </c>
      <c r="E282" s="146">
        <v>800</v>
      </c>
      <c r="F282" s="144">
        <v>228.2</v>
      </c>
      <c r="G282" s="145">
        <f t="shared" si="6"/>
        <v>28.525</v>
      </c>
    </row>
    <row r="283" spans="1:7" s="186" customFormat="1" ht="15">
      <c r="A283" s="147"/>
      <c r="B283" s="266">
        <v>3639</v>
      </c>
      <c r="C283" s="147" t="s">
        <v>460</v>
      </c>
      <c r="D283" s="145">
        <f>12685.2-12112</f>
        <v>573.2000000000007</v>
      </c>
      <c r="E283" s="146">
        <f>13283.7-12672</f>
        <v>611.7000000000007</v>
      </c>
      <c r="F283" s="144">
        <f>690.4-512.8</f>
        <v>177.60000000000002</v>
      </c>
      <c r="G283" s="145">
        <f t="shared" si="6"/>
        <v>29.033840117704727</v>
      </c>
    </row>
    <row r="284" spans="1:7" s="186" customFormat="1" ht="15" customHeight="1" hidden="1">
      <c r="A284" s="147"/>
      <c r="B284" s="266">
        <v>3639</v>
      </c>
      <c r="C284" s="147" t="s">
        <v>461</v>
      </c>
      <c r="D284" s="145">
        <v>0</v>
      </c>
      <c r="E284" s="146"/>
      <c r="F284" s="144"/>
      <c r="G284" s="145" t="e">
        <f t="shared" si="6"/>
        <v>#DIV/0!</v>
      </c>
    </row>
    <row r="285" spans="1:7" s="186" customFormat="1" ht="15">
      <c r="A285" s="147"/>
      <c r="B285" s="266">
        <v>3639</v>
      </c>
      <c r="C285" s="147" t="s">
        <v>462</v>
      </c>
      <c r="D285" s="145">
        <v>12112</v>
      </c>
      <c r="E285" s="146">
        <v>12672</v>
      </c>
      <c r="F285" s="144">
        <v>512.8</v>
      </c>
      <c r="G285" s="145">
        <f t="shared" si="6"/>
        <v>4.046717171717171</v>
      </c>
    </row>
    <row r="286" spans="1:7" s="186" customFormat="1" ht="15">
      <c r="A286" s="147"/>
      <c r="B286" s="266">
        <v>3729</v>
      </c>
      <c r="C286" s="147" t="s">
        <v>463</v>
      </c>
      <c r="D286" s="145">
        <v>1</v>
      </c>
      <c r="E286" s="146">
        <v>1</v>
      </c>
      <c r="F286" s="144">
        <v>0.5</v>
      </c>
      <c r="G286" s="145">
        <f t="shared" si="6"/>
        <v>50</v>
      </c>
    </row>
    <row r="287" spans="1:7" s="186" customFormat="1" ht="15" customHeight="1" thickBot="1">
      <c r="A287" s="269"/>
      <c r="B287" s="269"/>
      <c r="C287" s="285"/>
      <c r="D287" s="296"/>
      <c r="E287" s="297"/>
      <c r="F287" s="298"/>
      <c r="G287" s="296"/>
    </row>
    <row r="288" spans="1:7" s="186" customFormat="1" ht="18.75" customHeight="1" thickBot="1" thickTop="1">
      <c r="A288" s="261"/>
      <c r="B288" s="284"/>
      <c r="C288" s="282" t="s">
        <v>464</v>
      </c>
      <c r="D288" s="299">
        <f>SUM(D277:D286)</f>
        <v>32778.2</v>
      </c>
      <c r="E288" s="300">
        <f>SUM(E277:E286)</f>
        <v>33338.2</v>
      </c>
      <c r="F288" s="301">
        <f>SUM(F277:F286)</f>
        <v>7007.3</v>
      </c>
      <c r="G288" s="232">
        <f>(F288/E288)*100</f>
        <v>21.018831250637408</v>
      </c>
    </row>
    <row r="289" spans="1:7" s="186" customFormat="1" ht="15.75" customHeight="1">
      <c r="A289" s="185"/>
      <c r="B289" s="188"/>
      <c r="C289" s="235"/>
      <c r="D289" s="237"/>
      <c r="E289" s="237"/>
      <c r="F289" s="237"/>
      <c r="G289" s="237"/>
    </row>
    <row r="290" spans="1:7" s="186" customFormat="1" ht="15.75" customHeight="1">
      <c r="A290" s="185"/>
      <c r="B290" s="188"/>
      <c r="C290" s="235"/>
      <c r="D290" s="237"/>
      <c r="E290" s="237"/>
      <c r="F290" s="237"/>
      <c r="G290" s="237"/>
    </row>
    <row r="291" s="186" customFormat="1" ht="15.75" customHeight="1" thickBot="1"/>
    <row r="292" spans="1:7" s="186" customFormat="1" ht="15.75">
      <c r="A292" s="206" t="s">
        <v>27</v>
      </c>
      <c r="B292" s="207" t="s">
        <v>28</v>
      </c>
      <c r="C292" s="206" t="s">
        <v>30</v>
      </c>
      <c r="D292" s="206" t="s">
        <v>31</v>
      </c>
      <c r="E292" s="206" t="s">
        <v>31</v>
      </c>
      <c r="F292" s="54" t="s">
        <v>8</v>
      </c>
      <c r="G292" s="206" t="s">
        <v>304</v>
      </c>
    </row>
    <row r="293" spans="1:7" s="186" customFormat="1" ht="15.75" customHeight="1" thickBot="1">
      <c r="A293" s="208"/>
      <c r="B293" s="209"/>
      <c r="C293" s="210"/>
      <c r="D293" s="211" t="s">
        <v>33</v>
      </c>
      <c r="E293" s="211" t="s">
        <v>34</v>
      </c>
      <c r="F293" s="58" t="s">
        <v>35</v>
      </c>
      <c r="G293" s="211" t="s">
        <v>305</v>
      </c>
    </row>
    <row r="294" spans="1:7" s="186" customFormat="1" ht="38.25" customHeight="1" thickBot="1" thickTop="1">
      <c r="A294" s="282"/>
      <c r="B294" s="302"/>
      <c r="C294" s="303" t="s">
        <v>465</v>
      </c>
      <c r="D294" s="304">
        <f>SUM(D34,D117,D142,D173,D203,D220,D238,D248,D263,D288,)</f>
        <v>492538.5</v>
      </c>
      <c r="E294" s="305">
        <f>SUM(E34,E117,E142,E173,E203,E220,E238,E248,E263,E288,)</f>
        <v>507100.50000000006</v>
      </c>
      <c r="F294" s="306">
        <f>SUM(F34,F117,F142,F173,F203,F220,F238,F248,F263,F288,)</f>
        <v>124897.1</v>
      </c>
      <c r="G294" s="307">
        <f>(F294/E294)*100</f>
        <v>24.629654279575742</v>
      </c>
    </row>
    <row r="295" spans="1:7" ht="15">
      <c r="A295" s="84"/>
      <c r="B295" s="84"/>
      <c r="C295" s="84"/>
      <c r="D295" s="84"/>
      <c r="E295" s="84"/>
      <c r="F295" s="84"/>
      <c r="G295" s="84"/>
    </row>
    <row r="296" spans="1:7" ht="15" customHeight="1">
      <c r="A296" s="84"/>
      <c r="B296" s="84"/>
      <c r="C296" s="84"/>
      <c r="D296" s="84"/>
      <c r="E296" s="84"/>
      <c r="F296" s="84"/>
      <c r="G296" s="84"/>
    </row>
    <row r="297" spans="1:7" ht="15" customHeight="1">
      <c r="A297" s="84"/>
      <c r="B297" s="84"/>
      <c r="C297" s="84"/>
      <c r="D297" s="84"/>
      <c r="E297" s="84"/>
      <c r="F297" s="84"/>
      <c r="G297" s="84"/>
    </row>
    <row r="298" spans="1:7" ht="15" customHeight="1">
      <c r="A298" s="84"/>
      <c r="B298" s="84"/>
      <c r="C298" s="84"/>
      <c r="D298" s="84"/>
      <c r="E298" s="84"/>
      <c r="F298" s="84"/>
      <c r="G298" s="84"/>
    </row>
    <row r="299" spans="1:7" ht="15">
      <c r="A299" s="84"/>
      <c r="B299" s="84"/>
      <c r="C299" s="84"/>
      <c r="D299" s="84"/>
      <c r="E299" s="84"/>
      <c r="F299" s="84"/>
      <c r="G299" s="84"/>
    </row>
    <row r="300" spans="1:7" ht="15">
      <c r="A300" s="84"/>
      <c r="B300" s="84"/>
      <c r="C300" s="84"/>
      <c r="D300" s="84"/>
      <c r="E300" s="84"/>
      <c r="F300" s="84"/>
      <c r="G300" s="84"/>
    </row>
    <row r="301" spans="1:7" ht="15">
      <c r="A301" s="84"/>
      <c r="B301" s="84"/>
      <c r="C301" s="85"/>
      <c r="D301" s="84"/>
      <c r="E301" s="84"/>
      <c r="F301" s="84"/>
      <c r="G301" s="84"/>
    </row>
    <row r="302" spans="1:7" ht="15">
      <c r="A302" s="84"/>
      <c r="B302" s="84"/>
      <c r="C302" s="84"/>
      <c r="D302" s="84"/>
      <c r="E302" s="84"/>
      <c r="F302" s="84"/>
      <c r="G302" s="84"/>
    </row>
    <row r="303" spans="1:7" ht="15">
      <c r="A303" s="84"/>
      <c r="B303" s="84"/>
      <c r="C303" s="84"/>
      <c r="D303" s="84"/>
      <c r="E303" s="84"/>
      <c r="F303" s="84"/>
      <c r="G303" s="84"/>
    </row>
    <row r="304" spans="1:7" ht="15">
      <c r="A304" s="84"/>
      <c r="B304" s="84"/>
      <c r="C304" s="84"/>
      <c r="D304" s="84"/>
      <c r="E304" s="84"/>
      <c r="F304" s="84"/>
      <c r="G304" s="84"/>
    </row>
    <row r="305" spans="1:7" ht="15">
      <c r="A305" s="84"/>
      <c r="B305" s="84"/>
      <c r="C305" s="84"/>
      <c r="D305" s="84"/>
      <c r="E305" s="84"/>
      <c r="F305" s="84"/>
      <c r="G305" s="84"/>
    </row>
    <row r="306" spans="1:7" ht="15">
      <c r="A306" s="84"/>
      <c r="B306" s="84"/>
      <c r="C306" s="84"/>
      <c r="D306" s="84"/>
      <c r="E306" s="84"/>
      <c r="F306" s="84"/>
      <c r="G306" s="84"/>
    </row>
    <row r="307" spans="1:7" ht="15">
      <c r="A307" s="84"/>
      <c r="B307" s="84"/>
      <c r="C307" s="84"/>
      <c r="D307" s="84"/>
      <c r="E307" s="84"/>
      <c r="F307" s="84"/>
      <c r="G307" s="84"/>
    </row>
    <row r="308" spans="1:7" ht="15">
      <c r="A308" s="84"/>
      <c r="B308" s="84"/>
      <c r="C308" s="84"/>
      <c r="D308" s="84"/>
      <c r="E308" s="84"/>
      <c r="F308" s="84"/>
      <c r="G308" s="84"/>
    </row>
    <row r="309" spans="1:7" ht="15">
      <c r="A309" s="84"/>
      <c r="B309" s="84"/>
      <c r="C309" s="84"/>
      <c r="D309" s="84"/>
      <c r="E309" s="84"/>
      <c r="F309" s="84"/>
      <c r="G309" s="84"/>
    </row>
    <row r="310" spans="1:7" ht="15">
      <c r="A310" s="84"/>
      <c r="B310" s="84"/>
      <c r="C310" s="84"/>
      <c r="D310" s="84"/>
      <c r="E310" s="84"/>
      <c r="F310" s="84"/>
      <c r="G310" s="84"/>
    </row>
    <row r="311" spans="1:7" ht="15">
      <c r="A311" s="84"/>
      <c r="B311" s="84"/>
      <c r="C311" s="84"/>
      <c r="D311" s="84"/>
      <c r="E311" s="84"/>
      <c r="F311" s="84"/>
      <c r="G311" s="84"/>
    </row>
    <row r="312" spans="1:7" ht="15">
      <c r="A312" s="84"/>
      <c r="B312" s="84"/>
      <c r="C312" s="84"/>
      <c r="D312" s="84"/>
      <c r="E312" s="84"/>
      <c r="F312" s="84"/>
      <c r="G312" s="84"/>
    </row>
    <row r="313" spans="1:7" ht="15">
      <c r="A313" s="84"/>
      <c r="B313" s="84"/>
      <c r="C313" s="84"/>
      <c r="D313" s="84"/>
      <c r="E313" s="84"/>
      <c r="F313" s="84"/>
      <c r="G313" s="84"/>
    </row>
    <row r="314" spans="1:7" ht="15">
      <c r="A314" s="84"/>
      <c r="B314" s="84"/>
      <c r="C314" s="84"/>
      <c r="D314" s="84"/>
      <c r="E314" s="84"/>
      <c r="F314" s="84"/>
      <c r="G314" s="84"/>
    </row>
    <row r="315" spans="1:7" ht="15">
      <c r="A315" s="84"/>
      <c r="B315" s="84"/>
      <c r="C315" s="84"/>
      <c r="D315" s="84"/>
      <c r="E315" s="84"/>
      <c r="F315" s="84"/>
      <c r="G315" s="84"/>
    </row>
  </sheetData>
  <sheetProtection/>
  <printOptions/>
  <pageMargins left="0.34" right="0.31496062992125984" top="0.2755905511811024" bottom="0.4724409448818898" header="0.31496062992125984" footer="0.354330708661417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slatinska</cp:lastModifiedBy>
  <cp:lastPrinted>2013-05-16T13:18:02Z</cp:lastPrinted>
  <dcterms:created xsi:type="dcterms:W3CDTF">2013-05-15T14:42:03Z</dcterms:created>
  <dcterms:modified xsi:type="dcterms:W3CDTF">2013-05-24T08:29:12Z</dcterms:modified>
  <cp:category/>
  <cp:version/>
  <cp:contentType/>
  <cp:contentStatus/>
</cp:coreProperties>
</file>