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Doplň. ukaz. 8_2013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<sst xmlns="http://schemas.openxmlformats.org/spreadsheetml/2006/main" count="788" uniqueCount="488">
  <si>
    <t>Kraj: Jihomoravský</t>
  </si>
  <si>
    <t>Okres: Břeclav</t>
  </si>
  <si>
    <t>Město: Břeclav</t>
  </si>
  <si>
    <t xml:space="preserve">                    Tabulka doplňujících ukazatelů za období 8/2013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</si>
  <si>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</si>
  <si>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</si>
  <si>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</si>
  <si>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</si>
  <si>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</si>
  <si>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</si>
  <si>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</si>
  <si>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</si>
  <si>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</si>
  <si>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</si>
  <si>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</si>
  <si>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</si>
  <si>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</si>
  <si>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</si>
  <si>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</si>
  <si>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</si>
  <si>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</si>
  <si>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</si>
  <si>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</si>
  <si>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</si>
  <si>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</si>
  <si>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</si>
  <si>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</si>
  <si>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</si>
  <si>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</si>
  <si>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</si>
  <si>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</si>
  <si>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</si>
  <si>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</si>
  <si>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1-8/2013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</si>
  <si>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</si>
  <si>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</si>
  <si>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</si>
  <si>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</si>
  <si>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</si>
  <si>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</si>
  <si>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</si>
  <si>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</si>
  <si>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</si>
  <si>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</si>
  <si>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</si>
  <si>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</si>
  <si>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</si>
  <si>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</si>
  <si>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</si>
  <si>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</si>
  <si>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</si>
  <si>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</si>
  <si>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</si>
  <si>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</si>
  <si>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</si>
  <si>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</si>
  <si>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</si>
  <si>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</si>
  <si>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</si>
  <si>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</si>
  <si>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</si>
  <si>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</si>
  <si>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</si>
  <si>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</si>
  <si>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</si>
  <si>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</si>
  <si>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</si>
  <si>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</si>
  <si>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</si>
  <si>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</si>
  <si>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</si>
  <si>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</si>
  <si>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</si>
  <si>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</si>
  <si>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</si>
  <si>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</si>
  <si>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</si>
  <si>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</si>
  <si>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</si>
  <si>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</si>
  <si>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</si>
  <si>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</si>
  <si>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</si>
  <si>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</si>
  <si>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</si>
  <si>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</si>
  <si>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</si>
  <si>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</si>
  <si>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</si>
  <si>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SF-kompostéry,revit. Podzámčí,Rytopeky,Včelínek</t>
  </si>
  <si>
    <t>Ost. neinv. přij. transfery ze SR - prevence kriminality</t>
  </si>
  <si>
    <t>Ostat. neinv. přij. transfery ze SR a ESF - aktiv. politika zaměst.</t>
  </si>
  <si>
    <t>Ost. neinv. přij. transf. SR-kompostéry,revit.Podzámčí,Rytopeky,Včelínek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</si>
  <si>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</si>
  <si>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</si>
  <si>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</si>
  <si>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</si>
  <si>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</si>
  <si>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</si>
  <si>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</si>
  <si>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</si>
  <si>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</si>
  <si>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</si>
  <si>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</si>
  <si>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</si>
  <si>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</si>
  <si>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</si>
  <si>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</si>
  <si>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</si>
  <si>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>Investič. přij. transf. od krajů - Family point - Budovatelská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</si>
  <si>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</si>
  <si>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</si>
  <si>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</si>
  <si>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</si>
  <si>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</si>
  <si>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</si>
  <si>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</si>
  <si>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</si>
  <si>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</si>
  <si>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</si>
  <si>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</si>
  <si>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</si>
  <si>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</si>
  <si>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</si>
  <si>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</si>
  <si>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</si>
  <si>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</si>
  <si>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</si>
  <si>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</si>
  <si>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</si>
  <si>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</si>
  <si>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</si>
  <si>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</si>
  <si>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</si>
  <si>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</si>
  <si>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</si>
  <si>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</si>
  <si>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Neinvestič. přij. transfery ze SR - Good Governance na MěÚ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</si>
  <si>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</si>
  <si>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</si>
  <si>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</si>
  <si>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</si>
  <si>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</si>
  <si>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</si>
  <si>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</si>
  <si>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</si>
  <si>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</si>
  <si>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</si>
  <si>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</si>
  <si>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</si>
  <si>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</si>
  <si>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</si>
  <si>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</si>
  <si>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</si>
  <si>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</si>
  <si>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</si>
  <si>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</si>
  <si>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</si>
  <si>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</si>
  <si>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</si>
  <si>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</si>
  <si>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</si>
  <si>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</si>
  <si>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</si>
  <si>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</si>
  <si>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</si>
  <si>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</si>
  <si>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</si>
  <si>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</si>
  <si>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</si>
  <si>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</si>
  <si>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</si>
  <si>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</si>
  <si>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</si>
  <si>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</si>
  <si>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</si>
  <si>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</si>
  <si>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</si>
  <si>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</si>
  <si>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</si>
  <si>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krajů-EVVO-MŠ Břeclav,Hřbitovní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</si>
  <si>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</si>
  <si>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</si>
  <si>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</si>
  <si>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</si>
  <si>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</si>
  <si>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</si>
  <si>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</si>
  <si>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</si>
  <si>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</si>
  <si>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</si>
  <si>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</si>
  <si>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</si>
  <si>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</si>
  <si>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</si>
  <si>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</si>
  <si>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</si>
  <si>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</si>
  <si>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</si>
  <si>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</si>
  <si>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</si>
  <si>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</si>
  <si>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</si>
  <si>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</si>
  <si>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</si>
  <si>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</si>
  <si>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</si>
  <si>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</si>
  <si>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</si>
  <si>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</si>
  <si>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</si>
  <si>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</si>
  <si>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</si>
  <si>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</si>
  <si>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</si>
  <si>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</si>
  <si>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</si>
  <si>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</si>
  <si>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</si>
  <si>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</si>
  <si>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</si>
  <si>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</si>
  <si>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</si>
  <si>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</si>
  <si>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</si>
  <si>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</si>
  <si>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</si>
  <si>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</si>
  <si>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</si>
  <si>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</si>
  <si>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</si>
  <si>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</si>
  <si>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</si>
  <si>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</si>
  <si>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</si>
  <si>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</si>
  <si>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</si>
  <si>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</si>
  <si>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</si>
  <si>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</si>
  <si>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</si>
  <si>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</si>
  <si>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</si>
  <si>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</si>
  <si>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</si>
  <si>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</si>
  <si>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</si>
  <si>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</si>
  <si>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</si>
  <si>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</si>
  <si>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</si>
  <si>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</si>
  <si>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</si>
  <si>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</si>
  <si>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</si>
  <si>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</si>
  <si>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</si>
  <si>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</si>
  <si>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</si>
  <si>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</si>
  <si>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</si>
  <si>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</si>
  <si>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</si>
  <si>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</si>
  <si>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</si>
  <si>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</si>
  <si>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</si>
  <si>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</si>
  <si>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</si>
  <si>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</si>
  <si>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</si>
  <si>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</si>
  <si>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</si>
  <si>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</si>
  <si>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</si>
  <si>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</si>
  <si>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</si>
  <si>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</si>
  <si>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</si>
  <si>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</si>
  <si>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</si>
  <si>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</si>
  <si>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</si>
  <si>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</si>
  <si>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</si>
  <si>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</si>
  <si>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</si>
  <si>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</si>
  <si>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</si>
  <si>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</si>
  <si>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</si>
  <si>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</si>
  <si>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</si>
  <si>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</si>
  <si>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</si>
  <si>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</si>
  <si>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</si>
  <si>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</si>
  <si>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</si>
  <si>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</si>
  <si>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</si>
  <si>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</si>
  <si>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</si>
  <si>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</si>
  <si>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</si>
  <si>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</si>
  <si>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</si>
  <si>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</si>
  <si>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</si>
  <si>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</si>
  <si>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</si>
  <si>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</si>
  <si>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</si>
  <si>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</si>
  <si>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</si>
  <si>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</si>
  <si>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</si>
  <si>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</si>
  <si>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</si>
  <si>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</si>
  <si>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</si>
  <si>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</si>
  <si>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</si>
  <si>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</si>
  <si>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</si>
  <si>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</si>
  <si>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</si>
  <si>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</si>
  <si>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</si>
  <si>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</si>
  <si>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</si>
  <si>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</si>
  <si>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</si>
  <si>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</si>
  <si>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</si>
  <si>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</si>
  <si>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</si>
  <si>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</si>
  <si>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</si>
  <si>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</si>
  <si>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</si>
  <si>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</si>
  <si>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</si>
  <si>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</si>
  <si>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</si>
  <si>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</si>
  <si>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</si>
  <si>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</si>
  <si>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</si>
  <si>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</si>
  <si>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</si>
  <si>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</si>
  <si>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</si>
  <si>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</si>
  <si>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</si>
  <si>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</si>
  <si>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</si>
  <si>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</si>
  <si>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</si>
  <si>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</si>
  <si>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</si>
  <si>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</si>
  <si>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</si>
  <si>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</si>
  <si>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</si>
  <si>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</si>
  <si>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</si>
  <si>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</si>
  <si>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</si>
  <si>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Mezisoučet</t>
  </si>
  <si>
    <t>Kupkova-komunikace a chod. s odvodněním</t>
  </si>
  <si>
    <t>Pisníky-vozovka a chodníky</t>
  </si>
  <si>
    <t>Hájky-Habrova seč-přístupová komunikace</t>
  </si>
  <si>
    <t>Komunikace Fibichova</t>
  </si>
  <si>
    <t>Nákup zametacího stroje</t>
  </si>
  <si>
    <t>Cyklostezka Cukrovar-Poštorná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</si>
  <si>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</si>
  <si>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</si>
  <si>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</si>
  <si>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</si>
  <si>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</si>
  <si>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</si>
  <si>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</si>
  <si>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</si>
  <si>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</si>
  <si>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Regenerace panel. sídl. Slovácká II. etapa</t>
  </si>
  <si>
    <t>IPRM Valtická-kamerový systém</t>
  </si>
  <si>
    <t>Integr. přestupní terminál IDS JMK-studie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</si>
  <si>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</si>
  <si>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</si>
  <si>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</si>
  <si>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</si>
  <si>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MŠ Osvobození-zateplení, otvor. výplně</t>
  </si>
  <si>
    <t>MŠ Okružní-stav.úpravy, zateplení</t>
  </si>
  <si>
    <t>ZŠ Kupkova - zateplení</t>
  </si>
  <si>
    <t>ZŠ J. Noháče - zateplení, vým. otvor. výplní</t>
  </si>
  <si>
    <t xml:space="preserve">Kino Koruna - vzduchotechnika </t>
  </si>
  <si>
    <t>Skatepark Na valtické</t>
  </si>
  <si>
    <t>Smuteční obřadní síně-projektová dokumentace</t>
  </si>
  <si>
    <t>IOP-územní plán</t>
  </si>
  <si>
    <t>Využívání a zneškodňování ost. odpadů-Třídění bioodpadu-kompostéry I.et.</t>
  </si>
  <si>
    <t>Podpora proj. Family Point-místo k setkání rodin-Budovatelská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</si>
  <si>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</si>
  <si>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</si>
  <si>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sgtruktur-Včelínek</t>
  </si>
  <si>
    <t>Prevence kriminality - Zabezpečení sociál. vyloučené lokality</t>
  </si>
  <si>
    <t>Prev. kriminality-Bezpeč. Břeclav-Měst. kamer. dohlížecí systém</t>
  </si>
  <si>
    <t>Prev. kriminality-Bezpeč. Břeclav-Měst. kamer. dohlíž. systém-přístroje,zař.</t>
  </si>
  <si>
    <t>Domov seniorů  Břeclav - osazení termostatických ventilů</t>
  </si>
  <si>
    <t>Domov seniorů Břeclav - bezbariérový vstup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</si>
  <si>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</si>
  <si>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</si>
  <si>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</si>
  <si>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</si>
  <si>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</si>
  <si>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</si>
  <si>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</si>
  <si>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</si>
  <si>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</si>
  <si>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</si>
  <si>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</si>
  <si>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</si>
  <si>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</si>
  <si>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</si>
  <si>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</si>
  <si>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</si>
  <si>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</si>
  <si>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</si>
  <si>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</si>
  <si>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</si>
  <si>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</si>
  <si>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</si>
  <si>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</si>
  <si>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</si>
  <si>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</si>
  <si>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</si>
  <si>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</si>
  <si>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</si>
  <si>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</si>
  <si>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(příspěvek 8 200 + 4 000 přech. výpomoc)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</si>
  <si>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</si>
  <si>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</si>
  <si>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</si>
  <si>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</si>
  <si>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</si>
  <si>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</si>
  <si>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</si>
  <si>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</si>
  <si>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</si>
  <si>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</si>
  <si>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</si>
  <si>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</si>
  <si>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</si>
  <si>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</si>
  <si>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</si>
  <si>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</si>
  <si>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</si>
  <si>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</si>
  <si>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</si>
  <si>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</si>
  <si>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</si>
  <si>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</si>
  <si>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</si>
  <si>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</si>
  <si>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</si>
  <si>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</si>
  <si>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</si>
  <si>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</si>
  <si>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</si>
  <si>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</si>
  <si>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</si>
  <si>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</si>
  <si>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</si>
  <si>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</si>
  <si>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</si>
  <si>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</si>
  <si>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</si>
  <si>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</si>
  <si>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</si>
  <si>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</si>
  <si>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</si>
  <si>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</si>
  <si>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</si>
  <si>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</si>
  <si>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</si>
  <si>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</si>
  <si>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</si>
  <si>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Činnost muzeí a galerií - v 7/2013 převeden rozpočet 295 tis. na 010 OŠKMS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</si>
</sst>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4" fontId="19" fillId="0" borderId="20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4" fontId="19" fillId="0" borderId="27" xfId="0" applyNumberFormat="1" applyFont="1" applyBorder="1" applyAlignment="1">
      <alignment/>
    </xf>
    <xf numFmtId="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20" fillId="0" borderId="30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0" fontId="20" fillId="0" borderId="31" xfId="0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4" fontId="20" fillId="0" borderId="33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25" fillId="0" borderId="0" xfId="0" applyNumberFormat="1" applyFont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center"/>
    </xf>
    <xf numFmtId="0" fontId="22" fillId="34" borderId="35" xfId="0" applyFont="1" applyFill="1" applyBorder="1" applyAlignment="1">
      <alignment horizontal="center"/>
    </xf>
    <xf numFmtId="0" fontId="22" fillId="34" borderId="36" xfId="0" applyFont="1" applyFill="1" applyBorder="1" applyAlignment="1">
      <alignment horizontal="center"/>
    </xf>
    <xf numFmtId="4" fontId="22" fillId="34" borderId="35" xfId="46" applyNumberFormat="1" applyFont="1" applyFill="1" applyBorder="1" applyAlignment="1">
      <alignment horizontal="center"/>
      <protection/>
    </xf>
    <xf numFmtId="0" fontId="22" fillId="34" borderId="37" xfId="0" applyFont="1" applyFill="1" applyBorder="1" applyAlignment="1">
      <alignment horizontal="center"/>
    </xf>
    <xf numFmtId="0" fontId="22" fillId="34" borderId="38" xfId="0" applyFont="1" applyFill="1" applyBorder="1" applyAlignment="1">
      <alignment/>
    </xf>
    <xf numFmtId="4" fontId="22" fillId="34" borderId="37" xfId="46" applyNumberFormat="1" applyFont="1" applyFill="1" applyBorder="1" applyAlignment="1">
      <alignment horizontal="center"/>
      <protection/>
    </xf>
    <xf numFmtId="49" fontId="22" fillId="34" borderId="37" xfId="46" applyNumberFormat="1" applyFont="1" applyFill="1" applyBorder="1" applyAlignment="1">
      <alignment horizontal="center"/>
      <protection/>
    </xf>
    <xf numFmtId="0" fontId="22" fillId="0" borderId="39" xfId="0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4" fontId="25" fillId="0" borderId="39" xfId="0" applyNumberFormat="1" applyFont="1" applyFill="1" applyBorder="1" applyAlignment="1">
      <alignment/>
    </xf>
    <xf numFmtId="4" fontId="25" fillId="35" borderId="39" xfId="0" applyNumberFormat="1" applyFont="1" applyFill="1" applyBorder="1" applyAlignment="1">
      <alignment/>
    </xf>
    <xf numFmtId="4" fontId="25" fillId="36" borderId="39" xfId="0" applyNumberFormat="1" applyFont="1" applyFill="1" applyBorder="1" applyAlignment="1">
      <alignment/>
    </xf>
    <xf numFmtId="0" fontId="25" fillId="0" borderId="40" xfId="0" applyFont="1" applyFill="1" applyBorder="1" applyAlignment="1">
      <alignment/>
    </xf>
    <xf numFmtId="4" fontId="25" fillId="0" borderId="40" xfId="0" applyNumberFormat="1" applyFont="1" applyFill="1" applyBorder="1" applyAlignment="1">
      <alignment/>
    </xf>
    <xf numFmtId="4" fontId="25" fillId="35" borderId="40" xfId="0" applyNumberFormat="1" applyFont="1" applyFill="1" applyBorder="1" applyAlignment="1">
      <alignment/>
    </xf>
    <xf numFmtId="4" fontId="25" fillId="36" borderId="4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5" fillId="0" borderId="41" xfId="0" applyFont="1" applyFill="1" applyBorder="1" applyAlignment="1">
      <alignment/>
    </xf>
    <xf numFmtId="4" fontId="25" fillId="0" borderId="41" xfId="0" applyNumberFormat="1" applyFont="1" applyFill="1" applyBorder="1" applyAlignment="1">
      <alignment/>
    </xf>
    <xf numFmtId="4" fontId="25" fillId="35" borderId="41" xfId="0" applyNumberFormat="1" applyFont="1" applyFill="1" applyBorder="1" applyAlignment="1">
      <alignment/>
    </xf>
    <xf numFmtId="4" fontId="25" fillId="36" borderId="41" xfId="0" applyNumberFormat="1" applyFont="1" applyFill="1" applyBorder="1" applyAlignment="1">
      <alignment/>
    </xf>
    <xf numFmtId="4" fontId="25" fillId="0" borderId="42" xfId="0" applyNumberFormat="1" applyFont="1" applyFill="1" applyBorder="1" applyAlignment="1">
      <alignment/>
    </xf>
    <xf numFmtId="4" fontId="25" fillId="35" borderId="42" xfId="0" applyNumberFormat="1" applyFont="1" applyFill="1" applyBorder="1" applyAlignment="1">
      <alignment/>
    </xf>
    <xf numFmtId="0" fontId="25" fillId="0" borderId="43" xfId="0" applyFont="1" applyFill="1" applyBorder="1" applyAlignment="1">
      <alignment/>
    </xf>
    <xf numFmtId="4" fontId="25" fillId="0" borderId="43" xfId="0" applyNumberFormat="1" applyFont="1" applyFill="1" applyBorder="1" applyAlignment="1">
      <alignment/>
    </xf>
    <xf numFmtId="4" fontId="25" fillId="35" borderId="43" xfId="0" applyNumberFormat="1" applyFont="1" applyFill="1" applyBorder="1" applyAlignment="1">
      <alignment/>
    </xf>
    <xf numFmtId="4" fontId="25" fillId="36" borderId="43" xfId="0" applyNumberFormat="1" applyFont="1" applyFill="1" applyBorder="1" applyAlignment="1">
      <alignment/>
    </xf>
    <xf numFmtId="0" fontId="25" fillId="0" borderId="44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4" fontId="22" fillId="0" borderId="44" xfId="0" applyNumberFormat="1" applyFont="1" applyFill="1" applyBorder="1" applyAlignment="1">
      <alignment/>
    </xf>
    <xf numFmtId="4" fontId="22" fillId="35" borderId="44" xfId="0" applyNumberFormat="1" applyFont="1" applyFill="1" applyBorder="1" applyAlignment="1">
      <alignment/>
    </xf>
    <xf numFmtId="4" fontId="22" fillId="36" borderId="44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/>
    </xf>
    <xf numFmtId="0" fontId="25" fillId="0" borderId="17" xfId="0" applyFont="1" applyFill="1" applyBorder="1" applyAlignment="1">
      <alignment horizontal="right"/>
    </xf>
    <xf numFmtId="0" fontId="25" fillId="0" borderId="39" xfId="0" applyFont="1" applyFill="1" applyBorder="1" applyAlignment="1">
      <alignment horizontal="right"/>
    </xf>
    <xf numFmtId="0" fontId="25" fillId="0" borderId="39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0" xfId="0" applyFont="1" applyFill="1" applyBorder="1" applyAlignment="1">
      <alignment horizontal="right"/>
    </xf>
    <xf numFmtId="0" fontId="25" fillId="0" borderId="40" xfId="46" applyFont="1" applyFill="1" applyBorder="1" applyAlignment="1">
      <alignment horizontal="right"/>
      <protection/>
    </xf>
    <xf numFmtId="0" fontId="25" fillId="0" borderId="40" xfId="46" applyFont="1" applyFill="1" applyBorder="1" applyAlignment="1">
      <alignment horizontal="left"/>
      <protection/>
    </xf>
    <xf numFmtId="0" fontId="25" fillId="0" borderId="42" xfId="46" applyFont="1" applyFill="1" applyBorder="1" applyAlignment="1">
      <alignment horizontal="right"/>
      <protection/>
    </xf>
    <xf numFmtId="0" fontId="25" fillId="0" borderId="41" xfId="46" applyFont="1" applyFill="1" applyBorder="1" applyAlignment="1">
      <alignment horizontal="right"/>
      <protection/>
    </xf>
    <xf numFmtId="0" fontId="25" fillId="0" borderId="43" xfId="0" applyFont="1" applyFill="1" applyBorder="1" applyAlignment="1">
      <alignment horizontal="right"/>
    </xf>
    <xf numFmtId="0" fontId="25" fillId="0" borderId="20" xfId="0" applyFont="1" applyFill="1" applyBorder="1" applyAlignment="1">
      <alignment/>
    </xf>
    <xf numFmtId="4" fontId="25" fillId="37" borderId="4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4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5" fillId="0" borderId="46" xfId="0" applyNumberFormat="1" applyFont="1" applyFill="1" applyBorder="1" applyAlignment="1">
      <alignment/>
    </xf>
    <xf numFmtId="4" fontId="25" fillId="35" borderId="46" xfId="0" applyNumberFormat="1" applyFont="1" applyFill="1" applyBorder="1" applyAlignment="1">
      <alignment/>
    </xf>
    <xf numFmtId="4" fontId="25" fillId="36" borderId="46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4" fontId="30" fillId="0" borderId="39" xfId="0" applyNumberFormat="1" applyFont="1" applyFill="1" applyBorder="1" applyAlignment="1">
      <alignment/>
    </xf>
    <xf numFmtId="4" fontId="30" fillId="35" borderId="39" xfId="0" applyNumberFormat="1" applyFont="1" applyFill="1" applyBorder="1" applyAlignment="1">
      <alignment/>
    </xf>
    <xf numFmtId="4" fontId="30" fillId="36" borderId="39" xfId="0" applyNumberFormat="1" applyFont="1" applyFill="1" applyBorder="1" applyAlignment="1">
      <alignment/>
    </xf>
    <xf numFmtId="4" fontId="25" fillId="37" borderId="39" xfId="0" applyNumberFormat="1" applyFont="1" applyFill="1" applyBorder="1" applyAlignment="1">
      <alignment/>
    </xf>
    <xf numFmtId="4" fontId="25" fillId="37" borderId="39" xfId="0" applyNumberFormat="1" applyFont="1" applyFill="1" applyBorder="1" applyAlignment="1">
      <alignment/>
    </xf>
    <xf numFmtId="4" fontId="25" fillId="35" borderId="39" xfId="0" applyNumberFormat="1" applyFont="1" applyFill="1" applyBorder="1" applyAlignment="1">
      <alignment/>
    </xf>
    <xf numFmtId="4" fontId="25" fillId="36" borderId="39" xfId="0" applyNumberFormat="1" applyFont="1" applyFill="1" applyBorder="1" applyAlignment="1">
      <alignment/>
    </xf>
    <xf numFmtId="4" fontId="25" fillId="0" borderId="39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4" fontId="25" fillId="0" borderId="47" xfId="0" applyNumberFormat="1" applyFont="1" applyFill="1" applyBorder="1" applyAlignment="1">
      <alignment/>
    </xf>
    <xf numFmtId="4" fontId="25" fillId="35" borderId="47" xfId="0" applyNumberFormat="1" applyFont="1" applyFill="1" applyBorder="1" applyAlignment="1">
      <alignment/>
    </xf>
    <xf numFmtId="4" fontId="25" fillId="36" borderId="4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4" fontId="22" fillId="0" borderId="48" xfId="0" applyNumberFormat="1" applyFont="1" applyFill="1" applyBorder="1" applyAlignment="1">
      <alignment/>
    </xf>
    <xf numFmtId="4" fontId="22" fillId="35" borderId="48" xfId="0" applyNumberFormat="1" applyFont="1" applyFill="1" applyBorder="1" applyAlignment="1">
      <alignment/>
    </xf>
    <xf numFmtId="4" fontId="22" fillId="36" borderId="48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/>
    </xf>
    <xf numFmtId="4" fontId="25" fillId="35" borderId="40" xfId="0" applyNumberFormat="1" applyFont="1" applyFill="1" applyBorder="1" applyAlignment="1">
      <alignment/>
    </xf>
    <xf numFmtId="4" fontId="25" fillId="36" borderId="40" xfId="0" applyNumberFormat="1" applyFont="1" applyFill="1" applyBorder="1" applyAlignment="1">
      <alignment/>
    </xf>
    <xf numFmtId="4" fontId="25" fillId="0" borderId="40" xfId="0" applyNumberFormat="1" applyFont="1" applyFill="1" applyBorder="1" applyAlignment="1" applyProtection="1">
      <alignment horizontal="right"/>
      <protection locked="0"/>
    </xf>
    <xf numFmtId="4" fontId="25" fillId="35" borderId="40" xfId="0" applyNumberFormat="1" applyFont="1" applyFill="1" applyBorder="1" applyAlignment="1" applyProtection="1">
      <alignment horizontal="right"/>
      <protection locked="0"/>
    </xf>
    <xf numFmtId="4" fontId="25" fillId="36" borderId="40" xfId="0" applyNumberFormat="1" applyFont="1" applyFill="1" applyBorder="1" applyAlignment="1" applyProtection="1">
      <alignment horizontal="right"/>
      <protection locked="0"/>
    </xf>
    <xf numFmtId="4" fontId="25" fillId="0" borderId="40" xfId="0" applyNumberFormat="1" applyFont="1" applyFill="1" applyBorder="1" applyAlignment="1" applyProtection="1">
      <alignment/>
      <protection locked="0"/>
    </xf>
    <xf numFmtId="4" fontId="25" fillId="35" borderId="40" xfId="0" applyNumberFormat="1" applyFont="1" applyFill="1" applyBorder="1" applyAlignment="1" applyProtection="1">
      <alignment/>
      <protection locked="0"/>
    </xf>
    <xf numFmtId="4" fontId="25" fillId="36" borderId="40" xfId="0" applyNumberFormat="1" applyFont="1" applyFill="1" applyBorder="1" applyAlignment="1" applyProtection="1">
      <alignment/>
      <protection locked="0"/>
    </xf>
    <xf numFmtId="0" fontId="22" fillId="0" borderId="40" xfId="0" applyFont="1" applyFill="1" applyBorder="1" applyAlignment="1">
      <alignment/>
    </xf>
    <xf numFmtId="4" fontId="25" fillId="37" borderId="43" xfId="0" applyNumberFormat="1" applyFont="1" applyFill="1" applyBorder="1" applyAlignment="1">
      <alignment/>
    </xf>
    <xf numFmtId="0" fontId="22" fillId="0" borderId="40" xfId="0" applyFont="1" applyFill="1" applyBorder="1" applyAlignment="1">
      <alignment horizontal="center"/>
    </xf>
    <xf numFmtId="4" fontId="25" fillId="36" borderId="40" xfId="0" applyNumberFormat="1" applyFont="1" applyFill="1" applyBorder="1" applyAlignment="1">
      <alignment/>
    </xf>
    <xf numFmtId="4" fontId="25" fillId="0" borderId="40" xfId="0" applyNumberFormat="1" applyFont="1" applyFill="1" applyBorder="1" applyAlignment="1">
      <alignment/>
    </xf>
    <xf numFmtId="4" fontId="25" fillId="35" borderId="40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4" fontId="30" fillId="37" borderId="39" xfId="0" applyNumberFormat="1" applyFont="1" applyFill="1" applyBorder="1" applyAlignment="1">
      <alignment/>
    </xf>
    <xf numFmtId="4" fontId="25" fillId="0" borderId="20" xfId="0" applyNumberFormat="1" applyFont="1" applyFill="1" applyBorder="1" applyAlignment="1">
      <alignment/>
    </xf>
    <xf numFmtId="4" fontId="25" fillId="35" borderId="20" xfId="0" applyNumberFormat="1" applyFont="1" applyFill="1" applyBorder="1" applyAlignment="1">
      <alignment/>
    </xf>
    <xf numFmtId="4" fontId="22" fillId="0" borderId="47" xfId="0" applyNumberFormat="1" applyFont="1" applyFill="1" applyBorder="1" applyAlignment="1">
      <alignment/>
    </xf>
    <xf numFmtId="4" fontId="22" fillId="35" borderId="47" xfId="0" applyNumberFormat="1" applyFont="1" applyFill="1" applyBorder="1" applyAlignment="1">
      <alignment/>
    </xf>
    <xf numFmtId="4" fontId="22" fillId="36" borderId="47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40" xfId="0" applyNumberFormat="1" applyFont="1" applyFill="1" applyBorder="1" applyAlignment="1">
      <alignment horizontal="right"/>
    </xf>
    <xf numFmtId="4" fontId="25" fillId="35" borderId="40" xfId="0" applyNumberFormat="1" applyFont="1" applyFill="1" applyBorder="1" applyAlignment="1">
      <alignment horizontal="right"/>
    </xf>
    <xf numFmtId="4" fontId="25" fillId="36" borderId="40" xfId="0" applyNumberFormat="1" applyFont="1" applyFill="1" applyBorder="1" applyAlignment="1">
      <alignment horizontal="right"/>
    </xf>
    <xf numFmtId="0" fontId="25" fillId="0" borderId="37" xfId="0" applyFont="1" applyFill="1" applyBorder="1" applyAlignment="1">
      <alignment/>
    </xf>
    <xf numFmtId="4" fontId="25" fillId="0" borderId="37" xfId="0" applyNumberFormat="1" applyFont="1" applyFill="1" applyBorder="1" applyAlignment="1">
      <alignment/>
    </xf>
    <xf numFmtId="4" fontId="25" fillId="35" borderId="37" xfId="0" applyNumberFormat="1" applyFont="1" applyFill="1" applyBorder="1" applyAlignment="1">
      <alignment/>
    </xf>
    <xf numFmtId="4" fontId="25" fillId="36" borderId="37" xfId="0" applyNumberFormat="1" applyFont="1" applyFill="1" applyBorder="1" applyAlignment="1">
      <alignment/>
    </xf>
    <xf numFmtId="0" fontId="22" fillId="0" borderId="44" xfId="0" applyFont="1" applyFill="1" applyBorder="1" applyAlignment="1">
      <alignment vertical="center"/>
    </xf>
    <xf numFmtId="0" fontId="22" fillId="0" borderId="48" xfId="0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left" vertical="center"/>
    </xf>
    <xf numFmtId="4" fontId="22" fillId="0" borderId="48" xfId="0" applyNumberFormat="1" applyFont="1" applyFill="1" applyBorder="1" applyAlignment="1">
      <alignment vertical="center"/>
    </xf>
    <xf numFmtId="4" fontId="22" fillId="35" borderId="48" xfId="0" applyNumberFormat="1" applyFont="1" applyFill="1" applyBorder="1" applyAlignment="1">
      <alignment vertical="center"/>
    </xf>
    <xf numFmtId="4" fontId="22" fillId="36" borderId="48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/>
    </xf>
    <xf numFmtId="4" fontId="22" fillId="0" borderId="40" xfId="0" applyNumberFormat="1" applyFont="1" applyFill="1" applyBorder="1" applyAlignment="1">
      <alignment horizontal="center"/>
    </xf>
    <xf numFmtId="4" fontId="22" fillId="35" borderId="40" xfId="0" applyNumberFormat="1" applyFont="1" applyFill="1" applyBorder="1" applyAlignment="1">
      <alignment horizontal="center"/>
    </xf>
    <xf numFmtId="4" fontId="22" fillId="36" borderId="40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 horizontal="right"/>
    </xf>
    <xf numFmtId="4" fontId="25" fillId="35" borderId="39" xfId="0" applyNumberFormat="1" applyFont="1" applyFill="1" applyBorder="1" applyAlignment="1">
      <alignment horizontal="right"/>
    </xf>
    <xf numFmtId="4" fontId="25" fillId="36" borderId="39" xfId="0" applyNumberFormat="1" applyFont="1" applyFill="1" applyBorder="1" applyAlignment="1">
      <alignment horizontal="right"/>
    </xf>
    <xf numFmtId="0" fontId="25" fillId="0" borderId="42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2" fillId="34" borderId="35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37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37" xfId="0" applyFont="1" applyFill="1" applyBorder="1" applyAlignment="1">
      <alignment/>
    </xf>
    <xf numFmtId="49" fontId="22" fillId="34" borderId="37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4" fontId="25" fillId="0" borderId="46" xfId="0" applyNumberFormat="1" applyFont="1" applyFill="1" applyBorder="1" applyAlignment="1">
      <alignment/>
    </xf>
    <xf numFmtId="4" fontId="25" fillId="35" borderId="46" xfId="0" applyNumberFormat="1" applyFont="1" applyFill="1" applyBorder="1" applyAlignment="1">
      <alignment/>
    </xf>
    <xf numFmtId="4" fontId="25" fillId="36" borderId="46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4" fontId="34" fillId="0" borderId="40" xfId="0" applyNumberFormat="1" applyFont="1" applyFill="1" applyBorder="1" applyAlignment="1">
      <alignment/>
    </xf>
    <xf numFmtId="4" fontId="34" fillId="35" borderId="40" xfId="0" applyNumberFormat="1" applyFont="1" applyFill="1" applyBorder="1" applyAlignment="1">
      <alignment/>
    </xf>
    <xf numFmtId="4" fontId="34" fillId="36" borderId="40" xfId="0" applyNumberFormat="1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7" xfId="0" applyFont="1" applyFill="1" applyBorder="1" applyAlignment="1">
      <alignment horizontal="center"/>
    </xf>
    <xf numFmtId="0" fontId="25" fillId="0" borderId="43" xfId="0" applyFont="1" applyFill="1" applyBorder="1" applyAlignment="1">
      <alignment/>
    </xf>
    <xf numFmtId="4" fontId="25" fillId="0" borderId="43" xfId="0" applyNumberFormat="1" applyFont="1" applyFill="1" applyBorder="1" applyAlignment="1">
      <alignment/>
    </xf>
    <xf numFmtId="4" fontId="25" fillId="35" borderId="43" xfId="0" applyNumberFormat="1" applyFont="1" applyFill="1" applyBorder="1" applyAlignment="1">
      <alignment/>
    </xf>
    <xf numFmtId="4" fontId="25" fillId="36" borderId="43" xfId="0" applyNumberFormat="1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5" xfId="0" applyFont="1" applyFill="1" applyBorder="1" applyAlignment="1">
      <alignment horizontal="center"/>
    </xf>
    <xf numFmtId="0" fontId="22" fillId="0" borderId="44" xfId="0" applyFont="1" applyFill="1" applyBorder="1" applyAlignment="1">
      <alignment/>
    </xf>
    <xf numFmtId="4" fontId="22" fillId="0" borderId="44" xfId="0" applyNumberFormat="1" applyFont="1" applyFill="1" applyBorder="1" applyAlignment="1">
      <alignment/>
    </xf>
    <xf numFmtId="4" fontId="22" fillId="35" borderId="44" xfId="0" applyNumberFormat="1" applyFont="1" applyFill="1" applyBorder="1" applyAlignment="1">
      <alignment/>
    </xf>
    <xf numFmtId="4" fontId="22" fillId="36" borderId="4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7" xfId="0" applyFont="1" applyFill="1" applyBorder="1" applyAlignment="1">
      <alignment/>
    </xf>
    <xf numFmtId="4" fontId="25" fillId="37" borderId="40" xfId="0" applyNumberFormat="1" applyFont="1" applyFill="1" applyBorder="1" applyAlignment="1">
      <alignment/>
    </xf>
    <xf numFmtId="0" fontId="35" fillId="0" borderId="17" xfId="0" applyFont="1" applyFill="1" applyBorder="1" applyAlignment="1">
      <alignment/>
    </xf>
    <xf numFmtId="4" fontId="22" fillId="0" borderId="39" xfId="0" applyNumberFormat="1" applyFont="1" applyFill="1" applyBorder="1" applyAlignment="1">
      <alignment/>
    </xf>
    <xf numFmtId="4" fontId="22" fillId="35" borderId="39" xfId="0" applyNumberFormat="1" applyFont="1" applyFill="1" applyBorder="1" applyAlignment="1">
      <alignment/>
    </xf>
    <xf numFmtId="4" fontId="22" fillId="36" borderId="39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25" fillId="35" borderId="40" xfId="0" applyNumberFormat="1" applyFont="1" applyFill="1" applyBorder="1" applyAlignment="1">
      <alignment/>
    </xf>
    <xf numFmtId="3" fontId="25" fillId="36" borderId="4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/>
    </xf>
    <xf numFmtId="0" fontId="25" fillId="0" borderId="20" xfId="46" applyFont="1" applyFill="1" applyBorder="1" applyAlignment="1">
      <alignment horizontal="left"/>
      <protection/>
    </xf>
    <xf numFmtId="0" fontId="25" fillId="0" borderId="20" xfId="0" applyFont="1" applyFill="1" applyBorder="1" applyAlignment="1">
      <alignment horizontal="center"/>
    </xf>
    <xf numFmtId="0" fontId="25" fillId="0" borderId="41" xfId="0" applyFont="1" applyFill="1" applyBorder="1" applyAlignment="1">
      <alignment/>
    </xf>
    <xf numFmtId="0" fontId="25" fillId="0" borderId="4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" fontId="22" fillId="0" borderId="40" xfId="0" applyNumberFormat="1" applyFont="1" applyFill="1" applyBorder="1" applyAlignment="1">
      <alignment/>
    </xf>
    <xf numFmtId="4" fontId="22" fillId="35" borderId="40" xfId="0" applyNumberFormat="1" applyFont="1" applyFill="1" applyBorder="1" applyAlignment="1">
      <alignment/>
    </xf>
    <xf numFmtId="4" fontId="22" fillId="36" borderId="40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2" fillId="0" borderId="43" xfId="0" applyNumberFormat="1" applyFont="1" applyFill="1" applyBorder="1" applyAlignment="1">
      <alignment/>
    </xf>
    <xf numFmtId="4" fontId="22" fillId="35" borderId="43" xfId="0" applyNumberFormat="1" applyFont="1" applyFill="1" applyBorder="1" applyAlignment="1">
      <alignment/>
    </xf>
    <xf numFmtId="4" fontId="22" fillId="36" borderId="43" xfId="0" applyNumberFormat="1" applyFont="1" applyFill="1" applyBorder="1" applyAlignment="1">
      <alignment/>
    </xf>
    <xf numFmtId="0" fontId="25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4" fontId="25" fillId="0" borderId="41" xfId="0" applyNumberFormat="1" applyFont="1" applyFill="1" applyBorder="1" applyAlignment="1">
      <alignment/>
    </xf>
    <xf numFmtId="4" fontId="25" fillId="35" borderId="41" xfId="0" applyNumberFormat="1" applyFont="1" applyFill="1" applyBorder="1" applyAlignment="1">
      <alignment/>
    </xf>
    <xf numFmtId="0" fontId="22" fillId="0" borderId="4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47" xfId="0" applyFont="1" applyFill="1" applyBorder="1" applyAlignment="1">
      <alignment/>
    </xf>
    <xf numFmtId="4" fontId="25" fillId="36" borderId="41" xfId="0" applyNumberFormat="1" applyFont="1" applyFill="1" applyBorder="1" applyAlignment="1">
      <alignment/>
    </xf>
    <xf numFmtId="0" fontId="25" fillId="0" borderId="44" xfId="0" applyFont="1" applyFill="1" applyBorder="1" applyAlignment="1">
      <alignment horizontal="center"/>
    </xf>
    <xf numFmtId="0" fontId="22" fillId="0" borderId="49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1" xfId="0" applyFont="1" applyBorder="1" applyAlignment="1">
      <alignment/>
    </xf>
    <xf numFmtId="4" fontId="25" fillId="37" borderId="41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2" fillId="0" borderId="48" xfId="0" applyFont="1" applyFill="1" applyBorder="1" applyAlignment="1">
      <alignment/>
    </xf>
    <xf numFmtId="0" fontId="25" fillId="0" borderId="48" xfId="0" applyFont="1" applyFill="1" applyBorder="1" applyAlignment="1">
      <alignment horizontal="center"/>
    </xf>
    <xf numFmtId="0" fontId="22" fillId="0" borderId="47" xfId="0" applyFont="1" applyFill="1" applyBorder="1" applyAlignment="1">
      <alignment/>
    </xf>
    <xf numFmtId="4" fontId="25" fillId="0" borderId="37" xfId="0" applyNumberFormat="1" applyFont="1" applyFill="1" applyBorder="1" applyAlignment="1">
      <alignment/>
    </xf>
    <xf numFmtId="4" fontId="25" fillId="35" borderId="37" xfId="0" applyNumberFormat="1" applyFont="1" applyFill="1" applyBorder="1" applyAlignment="1">
      <alignment/>
    </xf>
    <xf numFmtId="4" fontId="25" fillId="36" borderId="37" xfId="0" applyNumberFormat="1" applyFont="1" applyFill="1" applyBorder="1" applyAlignment="1">
      <alignment/>
    </xf>
    <xf numFmtId="0" fontId="34" fillId="37" borderId="40" xfId="0" applyFont="1" applyFill="1" applyBorder="1" applyAlignment="1">
      <alignment horizontal="center"/>
    </xf>
    <xf numFmtId="0" fontId="25" fillId="0" borderId="40" xfId="0" applyFont="1" applyBorder="1" applyAlignment="1">
      <alignment/>
    </xf>
    <xf numFmtId="0" fontId="34" fillId="37" borderId="47" xfId="0" applyFont="1" applyFill="1" applyBorder="1" applyAlignment="1">
      <alignment horizontal="center"/>
    </xf>
    <xf numFmtId="0" fontId="25" fillId="0" borderId="37" xfId="0" applyFont="1" applyBorder="1" applyAlignment="1">
      <alignment/>
    </xf>
    <xf numFmtId="4" fontId="25" fillId="37" borderId="37" xfId="0" applyNumberFormat="1" applyFont="1" applyFill="1" applyBorder="1" applyAlignment="1">
      <alignment/>
    </xf>
    <xf numFmtId="4" fontId="22" fillId="0" borderId="40" xfId="0" applyNumberFormat="1" applyFont="1" applyFill="1" applyBorder="1" applyAlignment="1">
      <alignment/>
    </xf>
    <xf numFmtId="4" fontId="22" fillId="35" borderId="40" xfId="0" applyNumberFormat="1" applyFont="1" applyFill="1" applyBorder="1" applyAlignment="1">
      <alignment/>
    </xf>
    <xf numFmtId="4" fontId="25" fillId="0" borderId="47" xfId="0" applyNumberFormat="1" applyFont="1" applyFill="1" applyBorder="1" applyAlignment="1">
      <alignment/>
    </xf>
    <xf numFmtId="4" fontId="25" fillId="35" borderId="47" xfId="0" applyNumberFormat="1" applyFont="1" applyFill="1" applyBorder="1" applyAlignment="1">
      <alignment/>
    </xf>
    <xf numFmtId="4" fontId="25" fillId="36" borderId="47" xfId="0" applyNumberFormat="1" applyFont="1" applyFill="1" applyBorder="1" applyAlignment="1">
      <alignment/>
    </xf>
    <xf numFmtId="4" fontId="22" fillId="0" borderId="48" xfId="0" applyNumberFormat="1" applyFont="1" applyFill="1" applyBorder="1" applyAlignment="1">
      <alignment/>
    </xf>
    <xf numFmtId="4" fontId="22" fillId="35" borderId="48" xfId="0" applyNumberFormat="1" applyFont="1" applyFill="1" applyBorder="1" applyAlignment="1">
      <alignment/>
    </xf>
    <xf numFmtId="4" fontId="22" fillId="36" borderId="48" xfId="0" applyNumberFormat="1" applyFont="1" applyFill="1" applyBorder="1" applyAlignment="1">
      <alignment/>
    </xf>
    <xf numFmtId="0" fontId="22" fillId="0" borderId="48" xfId="0" applyFont="1" applyFill="1" applyBorder="1" applyAlignment="1">
      <alignment horizontal="center"/>
    </xf>
    <xf numFmtId="0" fontId="22" fillId="0" borderId="50" xfId="0" applyFont="1" applyFill="1" applyBorder="1" applyAlignment="1">
      <alignment vertical="center"/>
    </xf>
    <xf numFmtId="4" fontId="22" fillId="0" borderId="48" xfId="0" applyNumberFormat="1" applyFont="1" applyFill="1" applyBorder="1" applyAlignment="1">
      <alignment vertical="center"/>
    </xf>
    <xf numFmtId="4" fontId="22" fillId="35" borderId="48" xfId="0" applyNumberFormat="1" applyFont="1" applyFill="1" applyBorder="1" applyAlignment="1">
      <alignment vertical="center"/>
    </xf>
    <xf numFmtId="4" fontId="22" fillId="36" borderId="48" xfId="0" applyNumberFormat="1" applyFont="1" applyFill="1" applyBorder="1" applyAlignment="1">
      <alignment vertical="center"/>
    </xf>
    <xf numFmtId="4" fontId="22" fillId="0" borderId="44" xfId="0" applyNumberFormat="1" applyFont="1" applyFill="1" applyBorder="1" applyAlignment="1">
      <alignment vertical="center"/>
    </xf>
    <xf numFmtId="0" fontId="29" fillId="0" borderId="0" xfId="46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2">
      <selection activeCell="K21" sqref="K21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4" t="s">
        <v>3</v>
      </c>
      <c r="B6" s="5"/>
      <c r="C6" s="6"/>
      <c r="D6" s="6"/>
      <c r="E6" s="6"/>
    </row>
    <row r="7" spans="1:5" ht="15.75">
      <c r="A7" s="7"/>
      <c r="B7" s="8"/>
      <c r="C7" s="8"/>
      <c r="D7" s="8"/>
      <c r="E7" s="8"/>
    </row>
    <row r="8" spans="1:5" ht="13.5" thickBot="1">
      <c r="A8" s="9"/>
      <c r="C8" s="10"/>
      <c r="D8" s="10"/>
      <c r="E8" s="10" t="s">
        <v>4</v>
      </c>
    </row>
    <row r="9" spans="2:191" ht="18.75" customHeight="1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</row>
    <row r="10" spans="2:191" ht="13.5" customHeight="1" thickBot="1">
      <c r="B10" s="15"/>
      <c r="C10" s="16" t="s">
        <v>9</v>
      </c>
      <c r="D10" s="16" t="s">
        <v>9</v>
      </c>
      <c r="E10" s="17" t="s">
        <v>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</row>
    <row r="11" spans="2:191" ht="13.5" thickTop="1">
      <c r="B11" s="18" t="s">
        <v>10</v>
      </c>
      <c r="C11" s="19">
        <v>278551</v>
      </c>
      <c r="D11" s="19">
        <v>277976.2</v>
      </c>
      <c r="E11" s="20">
        <v>212796.8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</row>
    <row r="12" spans="2:191" ht="12.75">
      <c r="B12" s="21" t="s">
        <v>11</v>
      </c>
      <c r="C12" s="22">
        <v>59076.1</v>
      </c>
      <c r="D12" s="22">
        <v>60217.9</v>
      </c>
      <c r="E12" s="23">
        <v>48605.6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</row>
    <row r="13" spans="2:191" ht="12.75">
      <c r="B13" s="21" t="s">
        <v>12</v>
      </c>
      <c r="C13" s="22">
        <v>12871</v>
      </c>
      <c r="D13" s="22">
        <v>12871</v>
      </c>
      <c r="E13" s="23">
        <v>4816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</row>
    <row r="14" spans="2:191" ht="12.75">
      <c r="B14" s="24" t="s">
        <v>13</v>
      </c>
      <c r="C14" s="22">
        <v>84439</v>
      </c>
      <c r="D14" s="22">
        <v>84525.5</v>
      </c>
      <c r="E14" s="23">
        <f>419054.4-383948.4</f>
        <v>35106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</row>
    <row r="15" spans="2:191" ht="19.5" customHeight="1" thickBot="1">
      <c r="B15" s="25" t="s">
        <v>14</v>
      </c>
      <c r="C15" s="26">
        <f>SUM(C11:C14)</f>
        <v>434937.1</v>
      </c>
      <c r="D15" s="26">
        <f>SUM(D11:D14)</f>
        <v>435590.60000000003</v>
      </c>
      <c r="E15" s="27">
        <f>SUM(E11:E14)</f>
        <v>301324.4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</row>
    <row r="16" spans="2:191" ht="13.5" thickTop="1">
      <c r="B16" s="28"/>
      <c r="C16" s="29"/>
      <c r="D16" s="29"/>
      <c r="E16" s="3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</row>
    <row r="17" spans="1:191" ht="12.75">
      <c r="A17" s="14"/>
      <c r="B17" s="21" t="s">
        <v>15</v>
      </c>
      <c r="C17" s="22">
        <v>355833.5</v>
      </c>
      <c r="D17" s="22">
        <v>381987.6</v>
      </c>
      <c r="E17" s="23">
        <f>625916.6-383948.4</f>
        <v>241968.19999999995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</row>
    <row r="18" spans="1:213" s="31" customFormat="1" ht="12.75">
      <c r="A18" s="14"/>
      <c r="B18" s="24" t="s">
        <v>16</v>
      </c>
      <c r="C18" s="22">
        <v>136705</v>
      </c>
      <c r="D18" s="22">
        <v>144109.9</v>
      </c>
      <c r="E18" s="23">
        <v>13572.6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</row>
    <row r="19" spans="1:191" ht="19.5" customHeight="1" thickBot="1">
      <c r="A19" s="14"/>
      <c r="B19" s="25" t="s">
        <v>17</v>
      </c>
      <c r="C19" s="26">
        <f>SUM(C17:C18)</f>
        <v>492538.5</v>
      </c>
      <c r="D19" s="26">
        <f>SUM(D17:D18)</f>
        <v>526097.5</v>
      </c>
      <c r="E19" s="27">
        <f>SUM(E17:E18)</f>
        <v>255540.79999999996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</row>
    <row r="20" spans="2:191" ht="13.5" thickTop="1">
      <c r="B20" s="32"/>
      <c r="C20" s="33"/>
      <c r="D20" s="33"/>
      <c r="E20" s="3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</row>
    <row r="21" spans="2:191" ht="12.75">
      <c r="B21" s="35" t="s">
        <v>18</v>
      </c>
      <c r="C21" s="36"/>
      <c r="D21" s="36"/>
      <c r="E21" s="3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</row>
    <row r="22" spans="2:5" ht="12.75">
      <c r="B22" s="35" t="s">
        <v>19</v>
      </c>
      <c r="C22" s="38"/>
      <c r="D22" s="38"/>
      <c r="E22" s="39">
        <v>45783.6</v>
      </c>
    </row>
    <row r="23" spans="2:5" ht="15" customHeight="1" thickBot="1">
      <c r="B23" s="40" t="s">
        <v>20</v>
      </c>
      <c r="C23" s="41">
        <v>57601.4</v>
      </c>
      <c r="D23" s="41">
        <v>90506.9</v>
      </c>
      <c r="E23" s="42"/>
    </row>
    <row r="26" ht="12.75">
      <c r="B26" s="43" t="s">
        <v>21</v>
      </c>
    </row>
    <row r="27" spans="2:5" ht="12.75">
      <c r="B27" s="43" t="s">
        <v>22</v>
      </c>
      <c r="C27" s="43"/>
      <c r="D27" s="43"/>
      <c r="E27" s="43"/>
    </row>
    <row r="28" spans="2:5" ht="15">
      <c r="B28" s="43"/>
      <c r="C28" s="44"/>
      <c r="D28" s="44"/>
      <c r="E28" s="44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4"/>
  <sheetViews>
    <sheetView tabSelected="1" zoomScale="80" zoomScaleNormal="80" zoomScalePageLayoutView="0" workbookViewId="0" topLeftCell="A1">
      <selection activeCell="K17" sqref="K17"/>
    </sheetView>
  </sheetViews>
  <sheetFormatPr defaultColWidth="9.140625" defaultRowHeight="12.75"/>
  <cols>
    <col min="1" max="1" width="7.57421875" style="49" customWidth="1"/>
    <col min="2" max="3" width="10.28125" style="49" customWidth="1"/>
    <col min="4" max="4" width="76.8515625" style="49" customWidth="1"/>
    <col min="5" max="7" width="16.7109375" style="73" customWidth="1"/>
    <col min="8" max="8" width="11.421875" style="73" customWidth="1"/>
    <col min="9" max="9" width="9.140625" style="49" customWidth="1"/>
    <col min="10" max="10" width="24.8515625" style="49" customWidth="1"/>
    <col min="11" max="16384" width="9.140625" style="49" customWidth="1"/>
  </cols>
  <sheetData>
    <row r="1" spans="1:8" ht="21.75" customHeight="1">
      <c r="A1" s="45" t="s">
        <v>23</v>
      </c>
      <c r="B1" s="6"/>
      <c r="C1" s="6"/>
      <c r="D1" s="46"/>
      <c r="E1" s="47"/>
      <c r="F1" s="47"/>
      <c r="G1" s="48"/>
      <c r="H1" s="48"/>
    </row>
    <row r="2" spans="1:8" ht="12.75" customHeight="1">
      <c r="A2" s="50"/>
      <c r="B2" s="51"/>
      <c r="C2" s="50"/>
      <c r="D2" s="52"/>
      <c r="E2" s="47"/>
      <c r="F2" s="47"/>
      <c r="G2" s="47"/>
      <c r="H2" s="47"/>
    </row>
    <row r="3" spans="1:8" s="51" customFormat="1" ht="24" customHeight="1">
      <c r="A3" s="314" t="s">
        <v>24</v>
      </c>
      <c r="B3" s="314"/>
      <c r="C3" s="314"/>
      <c r="D3" s="315"/>
      <c r="E3" s="315"/>
      <c r="F3" s="53"/>
      <c r="G3" s="53"/>
      <c r="H3" s="53"/>
    </row>
    <row r="4" spans="1:8" s="51" customFormat="1" ht="15" customHeight="1" thickBot="1">
      <c r="A4" s="54"/>
      <c r="B4" s="54"/>
      <c r="C4" s="54"/>
      <c r="D4" s="54"/>
      <c r="E4" s="55"/>
      <c r="F4" s="55"/>
      <c r="G4" s="56" t="s">
        <v>4</v>
      </c>
      <c r="H4" s="55"/>
    </row>
    <row r="5" spans="1:8" ht="15.75">
      <c r="A5" s="57" t="s">
        <v>25</v>
      </c>
      <c r="B5" s="57" t="s">
        <v>26</v>
      </c>
      <c r="C5" s="57" t="s">
        <v>27</v>
      </c>
      <c r="D5" s="58" t="s">
        <v>28</v>
      </c>
      <c r="E5" s="59" t="s">
        <v>29</v>
      </c>
      <c r="F5" s="59" t="s">
        <v>29</v>
      </c>
      <c r="G5" s="59" t="s">
        <v>8</v>
      </c>
      <c r="H5" s="59" t="s">
        <v>30</v>
      </c>
    </row>
    <row r="6" spans="1:8" ht="15.75" customHeight="1" thickBot="1">
      <c r="A6" s="60"/>
      <c r="B6" s="60"/>
      <c r="C6" s="60"/>
      <c r="D6" s="61"/>
      <c r="E6" s="62" t="s">
        <v>31</v>
      </c>
      <c r="F6" s="62" t="s">
        <v>32</v>
      </c>
      <c r="G6" s="63" t="s">
        <v>33</v>
      </c>
      <c r="H6" s="62" t="s">
        <v>34</v>
      </c>
    </row>
    <row r="7" spans="1:8" ht="16.5" customHeight="1" thickTop="1">
      <c r="A7" s="64">
        <v>10</v>
      </c>
      <c r="B7" s="64"/>
      <c r="C7" s="64"/>
      <c r="D7" s="65" t="s">
        <v>35</v>
      </c>
      <c r="E7" s="66"/>
      <c r="F7" s="67"/>
      <c r="G7" s="68"/>
      <c r="H7" s="66"/>
    </row>
    <row r="8" spans="1:8" ht="15" customHeight="1">
      <c r="A8" s="64"/>
      <c r="B8" s="64"/>
      <c r="C8" s="64"/>
      <c r="D8" s="65"/>
      <c r="E8" s="66"/>
      <c r="F8" s="67"/>
      <c r="G8" s="68"/>
      <c r="H8" s="66"/>
    </row>
    <row r="9" spans="1:8" ht="15" customHeight="1" hidden="1">
      <c r="A9" s="69"/>
      <c r="B9" s="69"/>
      <c r="C9" s="69">
        <v>1344</v>
      </c>
      <c r="D9" s="69" t="s">
        <v>36</v>
      </c>
      <c r="E9" s="70">
        <v>0</v>
      </c>
      <c r="F9" s="71">
        <v>0</v>
      </c>
      <c r="G9" s="72"/>
      <c r="H9" s="70" t="e">
        <f>(#REF!/F9)*100</f>
        <v>#REF!</v>
      </c>
    </row>
    <row r="10" spans="1:9" ht="15">
      <c r="A10" s="69"/>
      <c r="B10" s="69"/>
      <c r="C10" s="69">
        <v>1361</v>
      </c>
      <c r="D10" s="69" t="s">
        <v>37</v>
      </c>
      <c r="E10" s="70">
        <v>5</v>
      </c>
      <c r="F10" s="71">
        <v>5</v>
      </c>
      <c r="G10" s="72">
        <v>5</v>
      </c>
      <c r="H10" s="70">
        <f>(G10/F10)*100</f>
        <v>100</v>
      </c>
      <c r="I10" s="73"/>
    </row>
    <row r="11" spans="1:8" ht="15">
      <c r="A11" s="74">
        <v>34053</v>
      </c>
      <c r="B11" s="74"/>
      <c r="C11" s="74">
        <v>4116</v>
      </c>
      <c r="D11" s="69" t="s">
        <v>38</v>
      </c>
      <c r="E11" s="75">
        <v>0</v>
      </c>
      <c r="F11" s="76">
        <v>32</v>
      </c>
      <c r="G11" s="77">
        <v>32</v>
      </c>
      <c r="H11" s="70">
        <f aca="true" t="shared" si="0" ref="H11:H58">(G11/F11)*100</f>
        <v>100</v>
      </c>
    </row>
    <row r="12" spans="1:8" ht="15">
      <c r="A12" s="74">
        <v>34070</v>
      </c>
      <c r="B12" s="74"/>
      <c r="C12" s="74">
        <v>4116</v>
      </c>
      <c r="D12" s="69" t="s">
        <v>39</v>
      </c>
      <c r="E12" s="75">
        <v>0</v>
      </c>
      <c r="F12" s="76">
        <v>5</v>
      </c>
      <c r="G12" s="77">
        <v>5</v>
      </c>
      <c r="H12" s="70">
        <f t="shared" si="0"/>
        <v>100</v>
      </c>
    </row>
    <row r="13" spans="1:8" ht="15">
      <c r="A13" s="74">
        <v>33123</v>
      </c>
      <c r="B13" s="74"/>
      <c r="C13" s="74">
        <v>4116</v>
      </c>
      <c r="D13" s="69" t="s">
        <v>40</v>
      </c>
      <c r="E13" s="70">
        <v>0</v>
      </c>
      <c r="F13" s="71">
        <v>1322.6</v>
      </c>
      <c r="G13" s="72">
        <v>1322.5</v>
      </c>
      <c r="H13" s="70">
        <f t="shared" si="0"/>
        <v>99.99243913503706</v>
      </c>
    </row>
    <row r="14" spans="1:8" ht="15">
      <c r="A14" s="74"/>
      <c r="B14" s="74"/>
      <c r="C14" s="74">
        <v>4121</v>
      </c>
      <c r="D14" s="74" t="s">
        <v>41</v>
      </c>
      <c r="E14" s="75">
        <v>0</v>
      </c>
      <c r="F14" s="76">
        <v>0</v>
      </c>
      <c r="G14" s="72">
        <v>300</v>
      </c>
      <c r="H14" s="70" t="e">
        <f t="shared" si="0"/>
        <v>#DIV/0!</v>
      </c>
    </row>
    <row r="15" spans="1:9" ht="15">
      <c r="A15" s="74">
        <v>341</v>
      </c>
      <c r="B15" s="74"/>
      <c r="C15" s="74">
        <v>4122</v>
      </c>
      <c r="D15" s="74" t="s">
        <v>42</v>
      </c>
      <c r="E15" s="78">
        <v>0</v>
      </c>
      <c r="F15" s="79">
        <v>200</v>
      </c>
      <c r="G15" s="77">
        <v>200</v>
      </c>
      <c r="H15" s="70">
        <f t="shared" si="0"/>
        <v>100</v>
      </c>
      <c r="I15" s="73"/>
    </row>
    <row r="16" spans="1:8" ht="15">
      <c r="A16" s="74">
        <v>379</v>
      </c>
      <c r="B16" s="74"/>
      <c r="C16" s="74">
        <v>4122</v>
      </c>
      <c r="D16" s="74" t="s">
        <v>43</v>
      </c>
      <c r="E16" s="78">
        <v>0</v>
      </c>
      <c r="F16" s="79">
        <v>31</v>
      </c>
      <c r="G16" s="77">
        <v>31</v>
      </c>
      <c r="H16" s="70">
        <f t="shared" si="0"/>
        <v>100</v>
      </c>
    </row>
    <row r="17" spans="1:8" ht="15" customHeight="1">
      <c r="A17" s="69">
        <v>214</v>
      </c>
      <c r="B17" s="69"/>
      <c r="C17" s="69">
        <v>4122</v>
      </c>
      <c r="D17" s="74" t="s">
        <v>44</v>
      </c>
      <c r="E17" s="70">
        <v>0</v>
      </c>
      <c r="F17" s="71">
        <v>60</v>
      </c>
      <c r="G17" s="72">
        <v>60</v>
      </c>
      <c r="H17" s="70">
        <f t="shared" si="0"/>
        <v>100</v>
      </c>
    </row>
    <row r="18" spans="1:8" ht="15">
      <c r="A18" s="74">
        <v>33030</v>
      </c>
      <c r="B18" s="74"/>
      <c r="C18" s="74">
        <v>4122</v>
      </c>
      <c r="D18" s="74" t="s">
        <v>45</v>
      </c>
      <c r="E18" s="78">
        <v>0</v>
      </c>
      <c r="F18" s="79">
        <v>728.5</v>
      </c>
      <c r="G18" s="77">
        <v>728.3</v>
      </c>
      <c r="H18" s="70">
        <f t="shared" si="0"/>
        <v>99.97254632807137</v>
      </c>
    </row>
    <row r="19" spans="1:8" ht="15" hidden="1">
      <c r="A19" s="74">
        <v>33926</v>
      </c>
      <c r="B19" s="74"/>
      <c r="C19" s="74">
        <v>4222</v>
      </c>
      <c r="D19" s="74" t="s">
        <v>46</v>
      </c>
      <c r="E19" s="78"/>
      <c r="F19" s="79"/>
      <c r="G19" s="77"/>
      <c r="H19" s="70" t="e">
        <f t="shared" si="0"/>
        <v>#DIV/0!</v>
      </c>
    </row>
    <row r="20" spans="1:8" ht="15">
      <c r="A20" s="74"/>
      <c r="B20" s="74">
        <v>2143</v>
      </c>
      <c r="C20" s="74">
        <v>2111</v>
      </c>
      <c r="D20" s="74" t="s">
        <v>47</v>
      </c>
      <c r="E20" s="75">
        <v>400</v>
      </c>
      <c r="F20" s="76">
        <v>400</v>
      </c>
      <c r="G20" s="77">
        <v>333.9</v>
      </c>
      <c r="H20" s="70">
        <f t="shared" si="0"/>
        <v>83.475</v>
      </c>
    </row>
    <row r="21" spans="1:8" ht="15">
      <c r="A21" s="74"/>
      <c r="B21" s="74">
        <v>2143</v>
      </c>
      <c r="C21" s="74">
        <v>2112</v>
      </c>
      <c r="D21" s="74" t="s">
        <v>48</v>
      </c>
      <c r="E21" s="75">
        <v>200</v>
      </c>
      <c r="F21" s="76">
        <v>200</v>
      </c>
      <c r="G21" s="77">
        <v>199.5</v>
      </c>
      <c r="H21" s="70">
        <f t="shared" si="0"/>
        <v>99.75</v>
      </c>
    </row>
    <row r="22" spans="1:8" ht="15">
      <c r="A22" s="74"/>
      <c r="B22" s="74">
        <v>2143</v>
      </c>
      <c r="C22" s="74">
        <v>2212</v>
      </c>
      <c r="D22" s="74" t="s">
        <v>49</v>
      </c>
      <c r="E22" s="75">
        <v>120</v>
      </c>
      <c r="F22" s="76">
        <v>120</v>
      </c>
      <c r="G22" s="77">
        <v>80</v>
      </c>
      <c r="H22" s="70">
        <f t="shared" si="0"/>
        <v>66.66666666666666</v>
      </c>
    </row>
    <row r="23" spans="1:8" ht="15" hidden="1">
      <c r="A23" s="74"/>
      <c r="B23" s="74">
        <v>2143</v>
      </c>
      <c r="C23" s="74">
        <v>2324</v>
      </c>
      <c r="D23" s="74" t="s">
        <v>50</v>
      </c>
      <c r="E23" s="75">
        <v>0</v>
      </c>
      <c r="F23" s="76">
        <v>0</v>
      </c>
      <c r="G23" s="77"/>
      <c r="H23" s="70" t="e">
        <f t="shared" si="0"/>
        <v>#DIV/0!</v>
      </c>
    </row>
    <row r="24" spans="1:8" ht="15" hidden="1">
      <c r="A24" s="74"/>
      <c r="B24" s="74">
        <v>2143</v>
      </c>
      <c r="C24" s="74">
        <v>2329</v>
      </c>
      <c r="D24" s="74" t="s">
        <v>51</v>
      </c>
      <c r="E24" s="75"/>
      <c r="F24" s="76"/>
      <c r="G24" s="77"/>
      <c r="H24" s="70" t="e">
        <f t="shared" si="0"/>
        <v>#DIV/0!</v>
      </c>
    </row>
    <row r="25" spans="1:8" ht="15" hidden="1">
      <c r="A25" s="74"/>
      <c r="B25" s="74">
        <v>3111</v>
      </c>
      <c r="C25" s="74">
        <v>2122</v>
      </c>
      <c r="D25" s="74" t="s">
        <v>52</v>
      </c>
      <c r="E25" s="75">
        <v>0</v>
      </c>
      <c r="F25" s="76">
        <v>0</v>
      </c>
      <c r="G25" s="77"/>
      <c r="H25" s="70" t="e">
        <f t="shared" si="0"/>
        <v>#DIV/0!</v>
      </c>
    </row>
    <row r="26" spans="1:8" ht="15" hidden="1">
      <c r="A26" s="74"/>
      <c r="B26" s="74">
        <v>3113</v>
      </c>
      <c r="C26" s="74">
        <v>2119</v>
      </c>
      <c r="D26" s="74" t="s">
        <v>53</v>
      </c>
      <c r="E26" s="75">
        <v>0</v>
      </c>
      <c r="F26" s="76">
        <v>0</v>
      </c>
      <c r="G26" s="77"/>
      <c r="H26" s="70" t="e">
        <f t="shared" si="0"/>
        <v>#DIV/0!</v>
      </c>
    </row>
    <row r="27" spans="1:8" ht="15">
      <c r="A27" s="74"/>
      <c r="B27" s="74">
        <v>3113</v>
      </c>
      <c r="C27" s="74">
        <v>2122</v>
      </c>
      <c r="D27" s="74" t="s">
        <v>54</v>
      </c>
      <c r="E27" s="75">
        <v>1000</v>
      </c>
      <c r="F27" s="76">
        <v>1000</v>
      </c>
      <c r="G27" s="77">
        <v>1000</v>
      </c>
      <c r="H27" s="70">
        <f t="shared" si="0"/>
        <v>100</v>
      </c>
    </row>
    <row r="28" spans="1:9" ht="15">
      <c r="A28" s="74"/>
      <c r="B28" s="74">
        <v>3313</v>
      </c>
      <c r="C28" s="74">
        <v>2132</v>
      </c>
      <c r="D28" s="74" t="s">
        <v>55</v>
      </c>
      <c r="E28" s="75">
        <v>331.8</v>
      </c>
      <c r="F28" s="76">
        <v>331.8</v>
      </c>
      <c r="G28" s="77">
        <v>100</v>
      </c>
      <c r="H28" s="70">
        <f t="shared" si="0"/>
        <v>30.13863773357444</v>
      </c>
      <c r="I28" s="73"/>
    </row>
    <row r="29" spans="1:8" ht="15">
      <c r="A29" s="69"/>
      <c r="B29" s="69">
        <v>3313</v>
      </c>
      <c r="C29" s="69">
        <v>2133</v>
      </c>
      <c r="D29" s="69" t="s">
        <v>56</v>
      </c>
      <c r="E29" s="70">
        <v>18.2</v>
      </c>
      <c r="F29" s="71">
        <v>18.2</v>
      </c>
      <c r="G29" s="77">
        <v>0</v>
      </c>
      <c r="H29" s="70">
        <f t="shared" si="0"/>
        <v>0</v>
      </c>
    </row>
    <row r="30" spans="1:8" ht="15">
      <c r="A30" s="69"/>
      <c r="B30" s="69">
        <v>3313</v>
      </c>
      <c r="C30" s="69">
        <v>2324</v>
      </c>
      <c r="D30" s="69" t="s">
        <v>57</v>
      </c>
      <c r="E30" s="70">
        <v>0</v>
      </c>
      <c r="F30" s="71">
        <v>0</v>
      </c>
      <c r="G30" s="72">
        <v>96.9</v>
      </c>
      <c r="H30" s="70" t="e">
        <f t="shared" si="0"/>
        <v>#DIV/0!</v>
      </c>
    </row>
    <row r="31" spans="1:8" ht="15" hidden="1">
      <c r="A31" s="69"/>
      <c r="B31" s="69">
        <v>3392</v>
      </c>
      <c r="C31" s="69">
        <v>2329</v>
      </c>
      <c r="D31" s="69" t="s">
        <v>58</v>
      </c>
      <c r="E31" s="70"/>
      <c r="F31" s="71"/>
      <c r="G31" s="72"/>
      <c r="H31" s="70" t="e">
        <f t="shared" si="0"/>
        <v>#DIV/0!</v>
      </c>
    </row>
    <row r="32" spans="1:8" ht="15" hidden="1">
      <c r="A32" s="74"/>
      <c r="B32" s="74">
        <v>3314</v>
      </c>
      <c r="C32" s="74">
        <v>2229</v>
      </c>
      <c r="D32" s="74" t="s">
        <v>59</v>
      </c>
      <c r="E32" s="75"/>
      <c r="F32" s="76"/>
      <c r="G32" s="77"/>
      <c r="H32" s="70" t="e">
        <f t="shared" si="0"/>
        <v>#DIV/0!</v>
      </c>
    </row>
    <row r="33" spans="1:8" ht="15" hidden="1">
      <c r="A33" s="74"/>
      <c r="B33" s="74">
        <v>3315</v>
      </c>
      <c r="C33" s="74">
        <v>2322</v>
      </c>
      <c r="D33" s="74" t="s">
        <v>60</v>
      </c>
      <c r="E33" s="75"/>
      <c r="F33" s="76"/>
      <c r="G33" s="77"/>
      <c r="H33" s="70" t="e">
        <f t="shared" si="0"/>
        <v>#DIV/0!</v>
      </c>
    </row>
    <row r="34" spans="1:8" ht="15">
      <c r="A34" s="74"/>
      <c r="B34" s="74">
        <v>3319</v>
      </c>
      <c r="C34" s="74">
        <v>2324</v>
      </c>
      <c r="D34" s="74" t="s">
        <v>61</v>
      </c>
      <c r="E34" s="75">
        <v>0</v>
      </c>
      <c r="F34" s="76">
        <v>0</v>
      </c>
      <c r="G34" s="77">
        <v>5.8</v>
      </c>
      <c r="H34" s="70" t="e">
        <f t="shared" si="0"/>
        <v>#DIV/0!</v>
      </c>
    </row>
    <row r="35" spans="1:9" ht="15" customHeight="1" hidden="1">
      <c r="A35" s="69"/>
      <c r="B35" s="69">
        <v>3319</v>
      </c>
      <c r="C35" s="69">
        <v>2329</v>
      </c>
      <c r="D35" s="69" t="s">
        <v>62</v>
      </c>
      <c r="E35" s="70"/>
      <c r="F35" s="71"/>
      <c r="G35" s="72"/>
      <c r="H35" s="70" t="e">
        <f t="shared" si="0"/>
        <v>#DIV/0!</v>
      </c>
      <c r="I35" s="73"/>
    </row>
    <row r="36" spans="1:8" ht="15">
      <c r="A36" s="74"/>
      <c r="B36" s="74">
        <v>3326</v>
      </c>
      <c r="C36" s="74">
        <v>2212</v>
      </c>
      <c r="D36" s="74" t="s">
        <v>63</v>
      </c>
      <c r="E36" s="75">
        <v>20</v>
      </c>
      <c r="F36" s="76">
        <v>20</v>
      </c>
      <c r="G36" s="77">
        <v>6</v>
      </c>
      <c r="H36" s="70">
        <f t="shared" si="0"/>
        <v>30</v>
      </c>
    </row>
    <row r="37" spans="1:8" ht="15">
      <c r="A37" s="74"/>
      <c r="B37" s="74">
        <v>3326</v>
      </c>
      <c r="C37" s="74">
        <v>2324</v>
      </c>
      <c r="D37" s="74" t="s">
        <v>64</v>
      </c>
      <c r="E37" s="75">
        <v>2</v>
      </c>
      <c r="F37" s="76">
        <v>2</v>
      </c>
      <c r="G37" s="77">
        <v>2</v>
      </c>
      <c r="H37" s="70">
        <f t="shared" si="0"/>
        <v>100</v>
      </c>
    </row>
    <row r="38" spans="1:8" ht="15">
      <c r="A38" s="74"/>
      <c r="B38" s="74">
        <v>3399</v>
      </c>
      <c r="C38" s="74">
        <v>2111</v>
      </c>
      <c r="D38" s="74" t="s">
        <v>65</v>
      </c>
      <c r="E38" s="75">
        <v>200</v>
      </c>
      <c r="F38" s="76">
        <v>200</v>
      </c>
      <c r="G38" s="77">
        <v>203.4</v>
      </c>
      <c r="H38" s="70">
        <f t="shared" si="0"/>
        <v>101.70000000000002</v>
      </c>
    </row>
    <row r="39" spans="1:8" ht="15">
      <c r="A39" s="74"/>
      <c r="B39" s="74">
        <v>3399</v>
      </c>
      <c r="C39" s="74">
        <v>2112</v>
      </c>
      <c r="D39" s="74" t="s">
        <v>66</v>
      </c>
      <c r="E39" s="75">
        <v>0</v>
      </c>
      <c r="F39" s="76">
        <v>0</v>
      </c>
      <c r="G39" s="77">
        <v>3.6</v>
      </c>
      <c r="H39" s="70" t="e">
        <f t="shared" si="0"/>
        <v>#DIV/0!</v>
      </c>
    </row>
    <row r="40" spans="1:8" ht="15">
      <c r="A40" s="74"/>
      <c r="B40" s="74">
        <v>3399</v>
      </c>
      <c r="C40" s="74">
        <v>2133</v>
      </c>
      <c r="D40" s="74" t="s">
        <v>67</v>
      </c>
      <c r="E40" s="75">
        <v>50</v>
      </c>
      <c r="F40" s="76">
        <v>50</v>
      </c>
      <c r="G40" s="77">
        <v>0</v>
      </c>
      <c r="H40" s="70">
        <f t="shared" si="0"/>
        <v>0</v>
      </c>
    </row>
    <row r="41" spans="1:9" ht="15">
      <c r="A41" s="74"/>
      <c r="B41" s="74">
        <v>3399</v>
      </c>
      <c r="C41" s="74">
        <v>2321</v>
      </c>
      <c r="D41" s="74" t="s">
        <v>68</v>
      </c>
      <c r="E41" s="75">
        <v>120</v>
      </c>
      <c r="F41" s="76">
        <v>60</v>
      </c>
      <c r="G41" s="77">
        <v>0</v>
      </c>
      <c r="H41" s="70">
        <f t="shared" si="0"/>
        <v>0</v>
      </c>
      <c r="I41" s="73"/>
    </row>
    <row r="42" spans="1:8" ht="15">
      <c r="A42" s="74"/>
      <c r="B42" s="74">
        <v>3399</v>
      </c>
      <c r="C42" s="74">
        <v>2324</v>
      </c>
      <c r="D42" s="74" t="s">
        <v>69</v>
      </c>
      <c r="E42" s="75">
        <v>0</v>
      </c>
      <c r="F42" s="76">
        <v>60</v>
      </c>
      <c r="G42" s="77">
        <v>61</v>
      </c>
      <c r="H42" s="70">
        <f t="shared" si="0"/>
        <v>101.66666666666666</v>
      </c>
    </row>
    <row r="43" spans="1:8" ht="15">
      <c r="A43" s="69"/>
      <c r="B43" s="69">
        <v>3399</v>
      </c>
      <c r="C43" s="69">
        <v>2329</v>
      </c>
      <c r="D43" s="69" t="s">
        <v>70</v>
      </c>
      <c r="E43" s="75">
        <v>0</v>
      </c>
      <c r="F43" s="76">
        <v>0</v>
      </c>
      <c r="G43" s="77">
        <v>22.5</v>
      </c>
      <c r="H43" s="70" t="e">
        <f t="shared" si="0"/>
        <v>#DIV/0!</v>
      </c>
    </row>
    <row r="44" spans="1:8" ht="15" hidden="1">
      <c r="A44" s="69"/>
      <c r="B44" s="69">
        <v>3412</v>
      </c>
      <c r="C44" s="69">
        <v>2122</v>
      </c>
      <c r="D44" s="69" t="s">
        <v>71</v>
      </c>
      <c r="E44" s="75"/>
      <c r="F44" s="76"/>
      <c r="G44" s="77"/>
      <c r="H44" s="70" t="e">
        <f t="shared" si="0"/>
        <v>#DIV/0!</v>
      </c>
    </row>
    <row r="45" spans="1:8" ht="15" hidden="1">
      <c r="A45" s="74"/>
      <c r="B45" s="74">
        <v>3412</v>
      </c>
      <c r="C45" s="74">
        <v>2324</v>
      </c>
      <c r="D45" s="74" t="s">
        <v>72</v>
      </c>
      <c r="E45" s="75"/>
      <c r="F45" s="76"/>
      <c r="G45" s="77"/>
      <c r="H45" s="70" t="e">
        <f t="shared" si="0"/>
        <v>#DIV/0!</v>
      </c>
    </row>
    <row r="46" spans="1:8" ht="15" hidden="1">
      <c r="A46" s="74"/>
      <c r="B46" s="74">
        <v>3412</v>
      </c>
      <c r="C46" s="74">
        <v>2329</v>
      </c>
      <c r="D46" s="74" t="s">
        <v>73</v>
      </c>
      <c r="E46" s="75"/>
      <c r="F46" s="76"/>
      <c r="G46" s="77"/>
      <c r="H46" s="70" t="e">
        <f t="shared" si="0"/>
        <v>#DIV/0!</v>
      </c>
    </row>
    <row r="47" spans="1:8" ht="15">
      <c r="A47" s="74"/>
      <c r="B47" s="74">
        <v>3412</v>
      </c>
      <c r="C47" s="74">
        <v>2132</v>
      </c>
      <c r="D47" s="74" t="s">
        <v>74</v>
      </c>
      <c r="E47" s="75">
        <v>579.6</v>
      </c>
      <c r="F47" s="76">
        <v>579.6</v>
      </c>
      <c r="G47" s="72">
        <v>247.1</v>
      </c>
      <c r="H47" s="70">
        <f t="shared" si="0"/>
        <v>42.63285024154589</v>
      </c>
    </row>
    <row r="48" spans="1:9" ht="15">
      <c r="A48" s="74"/>
      <c r="B48" s="74">
        <v>3412</v>
      </c>
      <c r="C48" s="74">
        <v>2133</v>
      </c>
      <c r="D48" s="74" t="s">
        <v>75</v>
      </c>
      <c r="E48" s="75">
        <v>2.4</v>
      </c>
      <c r="F48" s="76">
        <v>2.4</v>
      </c>
      <c r="G48" s="72">
        <v>2.9</v>
      </c>
      <c r="H48" s="70">
        <f t="shared" si="0"/>
        <v>120.83333333333333</v>
      </c>
      <c r="I48" s="73"/>
    </row>
    <row r="49" spans="1:8" ht="15" hidden="1">
      <c r="A49" s="74"/>
      <c r="B49" s="74">
        <v>3412</v>
      </c>
      <c r="C49" s="74">
        <v>2229</v>
      </c>
      <c r="D49" s="74" t="s">
        <v>76</v>
      </c>
      <c r="E49" s="75"/>
      <c r="F49" s="76"/>
      <c r="G49" s="72"/>
      <c r="H49" s="70" t="e">
        <f t="shared" si="0"/>
        <v>#DIV/0!</v>
      </c>
    </row>
    <row r="50" spans="1:8" ht="15">
      <c r="A50" s="74"/>
      <c r="B50" s="74">
        <v>3412</v>
      </c>
      <c r="C50" s="74">
        <v>2324</v>
      </c>
      <c r="D50" s="74" t="s">
        <v>77</v>
      </c>
      <c r="E50" s="75">
        <v>0</v>
      </c>
      <c r="F50" s="76">
        <v>0</v>
      </c>
      <c r="G50" s="77">
        <v>62.3</v>
      </c>
      <c r="H50" s="70" t="e">
        <f t="shared" si="0"/>
        <v>#DIV/0!</v>
      </c>
    </row>
    <row r="51" spans="1:8" ht="15" hidden="1">
      <c r="A51" s="74"/>
      <c r="B51" s="74">
        <v>3419</v>
      </c>
      <c r="C51" s="74">
        <v>2132</v>
      </c>
      <c r="D51" s="74" t="s">
        <v>78</v>
      </c>
      <c r="E51" s="75"/>
      <c r="F51" s="76"/>
      <c r="G51" s="77"/>
      <c r="H51" s="70" t="e">
        <f t="shared" si="0"/>
        <v>#DIV/0!</v>
      </c>
    </row>
    <row r="52" spans="1:8" ht="15">
      <c r="A52" s="74"/>
      <c r="B52" s="74">
        <v>3419</v>
      </c>
      <c r="C52" s="74">
        <v>2229</v>
      </c>
      <c r="D52" s="74" t="s">
        <v>79</v>
      </c>
      <c r="E52" s="75">
        <v>0</v>
      </c>
      <c r="F52" s="76">
        <v>0</v>
      </c>
      <c r="G52" s="77">
        <v>30.7</v>
      </c>
      <c r="H52" s="70" t="e">
        <f t="shared" si="0"/>
        <v>#DIV/0!</v>
      </c>
    </row>
    <row r="53" spans="1:8" ht="15" hidden="1">
      <c r="A53" s="74"/>
      <c r="B53" s="74">
        <v>3421</v>
      </c>
      <c r="C53" s="74">
        <v>2132</v>
      </c>
      <c r="D53" s="74" t="s">
        <v>80</v>
      </c>
      <c r="E53" s="75"/>
      <c r="F53" s="76"/>
      <c r="G53" s="77"/>
      <c r="H53" s="70" t="e">
        <f t="shared" si="0"/>
        <v>#DIV/0!</v>
      </c>
    </row>
    <row r="54" spans="1:8" ht="15">
      <c r="A54" s="74"/>
      <c r="B54" s="74">
        <v>3421</v>
      </c>
      <c r="C54" s="74">
        <v>2229</v>
      </c>
      <c r="D54" s="74" t="s">
        <v>81</v>
      </c>
      <c r="E54" s="75">
        <v>0</v>
      </c>
      <c r="F54" s="76">
        <v>0</v>
      </c>
      <c r="G54" s="77">
        <v>7.3</v>
      </c>
      <c r="H54" s="70" t="e">
        <f t="shared" si="0"/>
        <v>#DIV/0!</v>
      </c>
    </row>
    <row r="55" spans="1:8" ht="15" hidden="1">
      <c r="A55" s="74"/>
      <c r="B55" s="74">
        <v>3421</v>
      </c>
      <c r="C55" s="74">
        <v>2324</v>
      </c>
      <c r="D55" s="74" t="s">
        <v>82</v>
      </c>
      <c r="E55" s="75"/>
      <c r="F55" s="76"/>
      <c r="G55" s="77"/>
      <c r="H55" s="70" t="e">
        <f t="shared" si="0"/>
        <v>#DIV/0!</v>
      </c>
    </row>
    <row r="56" spans="1:8" ht="15">
      <c r="A56" s="74"/>
      <c r="B56" s="74">
        <v>3429</v>
      </c>
      <c r="C56" s="74">
        <v>2229</v>
      </c>
      <c r="D56" s="74" t="s">
        <v>83</v>
      </c>
      <c r="E56" s="75">
        <v>0</v>
      </c>
      <c r="F56" s="76">
        <v>0</v>
      </c>
      <c r="G56" s="77">
        <v>7.5</v>
      </c>
      <c r="H56" s="70" t="e">
        <f t="shared" si="0"/>
        <v>#DIV/0!</v>
      </c>
    </row>
    <row r="57" spans="1:8" ht="15" hidden="1">
      <c r="A57" s="74"/>
      <c r="B57" s="74">
        <v>6171</v>
      </c>
      <c r="C57" s="74">
        <v>2212</v>
      </c>
      <c r="D57" s="74" t="s">
        <v>84</v>
      </c>
      <c r="E57" s="75"/>
      <c r="F57" s="76"/>
      <c r="G57" s="77"/>
      <c r="H57" s="70" t="e">
        <f t="shared" si="0"/>
        <v>#DIV/0!</v>
      </c>
    </row>
    <row r="58" spans="1:8" ht="15" customHeight="1">
      <c r="A58" s="69"/>
      <c r="B58" s="69">
        <v>6409</v>
      </c>
      <c r="C58" s="69">
        <v>2328</v>
      </c>
      <c r="D58" s="69" t="s">
        <v>85</v>
      </c>
      <c r="E58" s="70">
        <v>0</v>
      </c>
      <c r="F58" s="71">
        <v>0</v>
      </c>
      <c r="G58" s="72">
        <v>0</v>
      </c>
      <c r="H58" s="70" t="e">
        <f t="shared" si="0"/>
        <v>#DIV/0!</v>
      </c>
    </row>
    <row r="59" spans="1:8" ht="15" customHeight="1" thickBot="1">
      <c r="A59" s="80"/>
      <c r="B59" s="80"/>
      <c r="C59" s="80"/>
      <c r="D59" s="80"/>
      <c r="E59" s="81"/>
      <c r="F59" s="82"/>
      <c r="G59" s="83"/>
      <c r="H59" s="81"/>
    </row>
    <row r="60" spans="1:8" s="89" customFormat="1" ht="21.75" customHeight="1" thickBot="1" thickTop="1">
      <c r="A60" s="84"/>
      <c r="B60" s="84"/>
      <c r="C60" s="84"/>
      <c r="D60" s="85" t="s">
        <v>86</v>
      </c>
      <c r="E60" s="86">
        <f>SUM(E9:E58)</f>
        <v>3049</v>
      </c>
      <c r="F60" s="87">
        <f>SUM(F9:F58)</f>
        <v>5428.1</v>
      </c>
      <c r="G60" s="88">
        <f>SUM(G9:G58)</f>
        <v>5156.200000000001</v>
      </c>
      <c r="H60" s="86">
        <f>(G60/F60)*100</f>
        <v>94.99088078701573</v>
      </c>
    </row>
    <row r="61" spans="1:8" ht="15" customHeight="1" thickBot="1">
      <c r="A61" s="89"/>
      <c r="B61" s="89"/>
      <c r="C61" s="89"/>
      <c r="D61" s="89"/>
      <c r="E61" s="90"/>
      <c r="F61" s="90"/>
      <c r="G61" s="90"/>
      <c r="H61" s="90"/>
    </row>
    <row r="62" spans="1:8" ht="15" customHeight="1" hidden="1">
      <c r="A62" s="89"/>
      <c r="B62" s="89"/>
      <c r="C62" s="89"/>
      <c r="D62" s="89"/>
      <c r="E62" s="90"/>
      <c r="F62" s="90"/>
      <c r="G62" s="90"/>
      <c r="H62" s="90"/>
    </row>
    <row r="63" spans="1:8" ht="15" customHeight="1" hidden="1" thickBot="1">
      <c r="A63" s="89"/>
      <c r="B63" s="89"/>
      <c r="C63" s="89"/>
      <c r="D63" s="89"/>
      <c r="E63" s="90"/>
      <c r="F63" s="90"/>
      <c r="G63" s="90"/>
      <c r="H63" s="90"/>
    </row>
    <row r="64" spans="1:8" ht="15.75">
      <c r="A64" s="57" t="s">
        <v>25</v>
      </c>
      <c r="B64" s="57" t="s">
        <v>26</v>
      </c>
      <c r="C64" s="57" t="s">
        <v>27</v>
      </c>
      <c r="D64" s="58" t="s">
        <v>28</v>
      </c>
      <c r="E64" s="59" t="s">
        <v>29</v>
      </c>
      <c r="F64" s="59" t="s">
        <v>29</v>
      </c>
      <c r="G64" s="59" t="s">
        <v>8</v>
      </c>
      <c r="H64" s="59" t="s">
        <v>30</v>
      </c>
    </row>
    <row r="65" spans="1:8" ht="15.75" customHeight="1" thickBot="1">
      <c r="A65" s="60"/>
      <c r="B65" s="60"/>
      <c r="C65" s="60"/>
      <c r="D65" s="61"/>
      <c r="E65" s="62" t="s">
        <v>31</v>
      </c>
      <c r="F65" s="62" t="s">
        <v>32</v>
      </c>
      <c r="G65" s="63" t="s">
        <v>33</v>
      </c>
      <c r="H65" s="62" t="s">
        <v>34</v>
      </c>
    </row>
    <row r="66" spans="1:8" ht="15.75" customHeight="1" thickTop="1">
      <c r="A66" s="91">
        <v>20</v>
      </c>
      <c r="B66" s="64"/>
      <c r="C66" s="64"/>
      <c r="D66" s="65" t="s">
        <v>87</v>
      </c>
      <c r="E66" s="66"/>
      <c r="F66" s="67"/>
      <c r="G66" s="68"/>
      <c r="H66" s="66"/>
    </row>
    <row r="67" spans="1:8" ht="15.75" customHeight="1">
      <c r="A67" s="91"/>
      <c r="B67" s="64"/>
      <c r="C67" s="64"/>
      <c r="D67" s="65"/>
      <c r="E67" s="66"/>
      <c r="F67" s="67"/>
      <c r="G67" s="68"/>
      <c r="H67" s="66"/>
    </row>
    <row r="68" spans="1:8" ht="15.75" customHeight="1" hidden="1">
      <c r="A68" s="91"/>
      <c r="B68" s="64"/>
      <c r="C68" s="92">
        <v>2420</v>
      </c>
      <c r="D68" s="93" t="s">
        <v>88</v>
      </c>
      <c r="E68" s="70">
        <v>0</v>
      </c>
      <c r="F68" s="71">
        <v>0</v>
      </c>
      <c r="G68" s="72"/>
      <c r="H68" s="70" t="e">
        <f>(#REF!/F68)*100</f>
        <v>#REF!</v>
      </c>
    </row>
    <row r="69" spans="1:8" ht="15.75" customHeight="1">
      <c r="A69" s="91"/>
      <c r="B69" s="64"/>
      <c r="C69" s="92">
        <v>4113</v>
      </c>
      <c r="D69" s="93" t="s">
        <v>89</v>
      </c>
      <c r="E69" s="70">
        <v>0</v>
      </c>
      <c r="F69" s="71">
        <f>99.5+34.5+13.1+7.7</f>
        <v>154.79999999999998</v>
      </c>
      <c r="G69" s="72">
        <v>0</v>
      </c>
      <c r="H69" s="70">
        <f aca="true" t="shared" si="1" ref="H69:H102">(G69/F69)*100</f>
        <v>0</v>
      </c>
    </row>
    <row r="70" spans="1:8" ht="15.75">
      <c r="A70" s="94">
        <v>14018</v>
      </c>
      <c r="B70" s="64"/>
      <c r="C70" s="95">
        <v>4116</v>
      </c>
      <c r="D70" s="96" t="s">
        <v>90</v>
      </c>
      <c r="E70" s="70">
        <v>0</v>
      </c>
      <c r="F70" s="71">
        <v>640</v>
      </c>
      <c r="G70" s="77">
        <v>640</v>
      </c>
      <c r="H70" s="70">
        <f t="shared" si="1"/>
        <v>100</v>
      </c>
    </row>
    <row r="71" spans="1:10" ht="15.75">
      <c r="A71" s="94"/>
      <c r="B71" s="64"/>
      <c r="C71" s="95">
        <v>4116</v>
      </c>
      <c r="D71" s="69" t="s">
        <v>91</v>
      </c>
      <c r="E71" s="70">
        <v>90</v>
      </c>
      <c r="F71" s="71">
        <v>2650.1</v>
      </c>
      <c r="G71" s="77">
        <v>1408.9</v>
      </c>
      <c r="H71" s="70">
        <f t="shared" si="1"/>
        <v>53.164031545979405</v>
      </c>
      <c r="J71" s="73"/>
    </row>
    <row r="72" spans="1:8" ht="15.75" customHeight="1">
      <c r="A72" s="94">
        <v>15374</v>
      </c>
      <c r="B72" s="64"/>
      <c r="C72" s="92">
        <v>4116</v>
      </c>
      <c r="D72" s="96" t="s">
        <v>92</v>
      </c>
      <c r="E72" s="66">
        <v>0</v>
      </c>
      <c r="F72" s="67">
        <f>1691+482.9+221.9+130.2</f>
        <v>2526</v>
      </c>
      <c r="G72" s="77">
        <v>0</v>
      </c>
      <c r="H72" s="70">
        <f t="shared" si="1"/>
        <v>0</v>
      </c>
    </row>
    <row r="73" spans="1:8" ht="15.75">
      <c r="A73" s="94"/>
      <c r="B73" s="64"/>
      <c r="C73" s="92">
        <v>4122</v>
      </c>
      <c r="D73" s="96" t="s">
        <v>93</v>
      </c>
      <c r="E73" s="70">
        <v>0</v>
      </c>
      <c r="F73" s="71">
        <v>20</v>
      </c>
      <c r="G73" s="77">
        <v>0</v>
      </c>
      <c r="H73" s="70">
        <f t="shared" si="1"/>
        <v>0</v>
      </c>
    </row>
    <row r="74" spans="1:10" ht="15.75" customHeight="1">
      <c r="A74" s="94">
        <v>71024</v>
      </c>
      <c r="B74" s="64"/>
      <c r="C74" s="92">
        <v>4213</v>
      </c>
      <c r="D74" s="97" t="s">
        <v>94</v>
      </c>
      <c r="E74" s="66">
        <v>100</v>
      </c>
      <c r="F74" s="67">
        <v>0</v>
      </c>
      <c r="G74" s="77">
        <v>0</v>
      </c>
      <c r="H74" s="70" t="e">
        <f t="shared" si="1"/>
        <v>#DIV/0!</v>
      </c>
      <c r="J74" s="73"/>
    </row>
    <row r="75" spans="1:9" ht="15.75" customHeight="1">
      <c r="A75" s="94">
        <v>81012</v>
      </c>
      <c r="B75" s="64"/>
      <c r="C75" s="92">
        <v>4213</v>
      </c>
      <c r="D75" s="97" t="s">
        <v>95</v>
      </c>
      <c r="E75" s="66">
        <v>140</v>
      </c>
      <c r="F75" s="67">
        <v>2.7</v>
      </c>
      <c r="G75" s="77">
        <v>2.7</v>
      </c>
      <c r="H75" s="70">
        <f t="shared" si="1"/>
        <v>100</v>
      </c>
      <c r="I75" s="73"/>
    </row>
    <row r="76" spans="1:8" ht="15.75" customHeight="1">
      <c r="A76" s="94">
        <v>1036</v>
      </c>
      <c r="B76" s="64"/>
      <c r="C76" s="92">
        <v>4213</v>
      </c>
      <c r="D76" s="97" t="s">
        <v>96</v>
      </c>
      <c r="E76" s="66">
        <v>35</v>
      </c>
      <c r="F76" s="67">
        <v>35</v>
      </c>
      <c r="G76" s="77">
        <v>0</v>
      </c>
      <c r="H76" s="70">
        <f t="shared" si="1"/>
        <v>0</v>
      </c>
    </row>
    <row r="77" spans="1:8" ht="15" customHeight="1">
      <c r="A77" s="98">
        <v>1037</v>
      </c>
      <c r="B77" s="69"/>
      <c r="C77" s="69">
        <v>4213</v>
      </c>
      <c r="D77" s="69" t="s">
        <v>97</v>
      </c>
      <c r="E77" s="70">
        <v>0</v>
      </c>
      <c r="F77" s="71">
        <v>115</v>
      </c>
      <c r="G77" s="72">
        <v>115</v>
      </c>
      <c r="H77" s="70">
        <f t="shared" si="1"/>
        <v>100</v>
      </c>
    </row>
    <row r="78" spans="1:8" ht="15.75" customHeight="1">
      <c r="A78" s="94">
        <v>1046</v>
      </c>
      <c r="B78" s="64"/>
      <c r="C78" s="92">
        <v>4213</v>
      </c>
      <c r="D78" s="97" t="s">
        <v>98</v>
      </c>
      <c r="E78" s="66">
        <v>51</v>
      </c>
      <c r="F78" s="67">
        <v>51</v>
      </c>
      <c r="G78" s="77">
        <v>0</v>
      </c>
      <c r="H78" s="70">
        <f t="shared" si="1"/>
        <v>0</v>
      </c>
    </row>
    <row r="79" spans="1:8" ht="15.75" customHeight="1">
      <c r="A79" s="94">
        <v>1047</v>
      </c>
      <c r="B79" s="64"/>
      <c r="C79" s="92">
        <v>4213</v>
      </c>
      <c r="D79" s="97" t="s">
        <v>99</v>
      </c>
      <c r="E79" s="66">
        <v>321</v>
      </c>
      <c r="F79" s="67">
        <v>321</v>
      </c>
      <c r="G79" s="77">
        <v>0</v>
      </c>
      <c r="H79" s="70">
        <f t="shared" si="1"/>
        <v>0</v>
      </c>
    </row>
    <row r="80" spans="1:8" ht="15.75" customHeight="1">
      <c r="A80" s="94">
        <v>1047</v>
      </c>
      <c r="B80" s="64"/>
      <c r="C80" s="92">
        <v>4213</v>
      </c>
      <c r="D80" s="97" t="s">
        <v>100</v>
      </c>
      <c r="E80" s="66">
        <v>174</v>
      </c>
      <c r="F80" s="67">
        <v>174</v>
      </c>
      <c r="G80" s="77">
        <v>0</v>
      </c>
      <c r="H80" s="70">
        <f t="shared" si="1"/>
        <v>0</v>
      </c>
    </row>
    <row r="81" spans="1:8" ht="15.75">
      <c r="A81" s="94">
        <v>71024</v>
      </c>
      <c r="B81" s="64"/>
      <c r="C81" s="95">
        <v>4216</v>
      </c>
      <c r="D81" s="96" t="s">
        <v>101</v>
      </c>
      <c r="E81" s="70">
        <v>4300</v>
      </c>
      <c r="F81" s="71">
        <v>0</v>
      </c>
      <c r="G81" s="77">
        <v>0</v>
      </c>
      <c r="H81" s="70" t="e">
        <f t="shared" si="1"/>
        <v>#DIV/0!</v>
      </c>
    </row>
    <row r="82" spans="1:8" ht="15.75">
      <c r="A82" s="94">
        <v>81012</v>
      </c>
      <c r="B82" s="64"/>
      <c r="C82" s="95">
        <v>4216</v>
      </c>
      <c r="D82" s="96" t="s">
        <v>102</v>
      </c>
      <c r="E82" s="70">
        <v>2660</v>
      </c>
      <c r="F82" s="71">
        <v>45.9</v>
      </c>
      <c r="G82" s="77">
        <v>45.9</v>
      </c>
      <c r="H82" s="70">
        <f t="shared" si="1"/>
        <v>100</v>
      </c>
    </row>
    <row r="83" spans="1:8" ht="15.75">
      <c r="A83" s="94">
        <v>1036</v>
      </c>
      <c r="B83" s="64"/>
      <c r="C83" s="95">
        <v>4216</v>
      </c>
      <c r="D83" s="96" t="s">
        <v>103</v>
      </c>
      <c r="E83" s="70">
        <v>588</v>
      </c>
      <c r="F83" s="71">
        <v>588</v>
      </c>
      <c r="G83" s="77">
        <v>0</v>
      </c>
      <c r="H83" s="70">
        <f t="shared" si="1"/>
        <v>0</v>
      </c>
    </row>
    <row r="84" spans="1:8" ht="15.75">
      <c r="A84" s="94">
        <v>1045</v>
      </c>
      <c r="B84" s="64"/>
      <c r="C84" s="95">
        <v>4216</v>
      </c>
      <c r="D84" s="96" t="s">
        <v>104</v>
      </c>
      <c r="E84" s="70">
        <v>2125</v>
      </c>
      <c r="F84" s="71">
        <v>2125</v>
      </c>
      <c r="G84" s="77">
        <v>0</v>
      </c>
      <c r="H84" s="70">
        <f t="shared" si="1"/>
        <v>0</v>
      </c>
    </row>
    <row r="85" spans="1:8" ht="15.75">
      <c r="A85" s="94">
        <v>1046</v>
      </c>
      <c r="B85" s="64"/>
      <c r="C85" s="95">
        <v>4216</v>
      </c>
      <c r="D85" s="96" t="s">
        <v>105</v>
      </c>
      <c r="E85" s="70">
        <v>882</v>
      </c>
      <c r="F85" s="71">
        <v>882</v>
      </c>
      <c r="G85" s="77">
        <v>0</v>
      </c>
      <c r="H85" s="70">
        <f t="shared" si="1"/>
        <v>0</v>
      </c>
    </row>
    <row r="86" spans="1:8" ht="15.75">
      <c r="A86" s="94">
        <v>1047</v>
      </c>
      <c r="B86" s="64"/>
      <c r="C86" s="95">
        <v>4216</v>
      </c>
      <c r="D86" s="96" t="s">
        <v>106</v>
      </c>
      <c r="E86" s="70">
        <v>5464</v>
      </c>
      <c r="F86" s="71">
        <v>5464</v>
      </c>
      <c r="G86" s="77">
        <v>0</v>
      </c>
      <c r="H86" s="70">
        <f t="shared" si="1"/>
        <v>0</v>
      </c>
    </row>
    <row r="87" spans="1:8" ht="15.75">
      <c r="A87" s="94">
        <v>1048</v>
      </c>
      <c r="B87" s="64"/>
      <c r="C87" s="95">
        <v>4216</v>
      </c>
      <c r="D87" s="96" t="s">
        <v>107</v>
      </c>
      <c r="E87" s="70">
        <v>2959</v>
      </c>
      <c r="F87" s="71">
        <v>2959</v>
      </c>
      <c r="G87" s="77">
        <v>0</v>
      </c>
      <c r="H87" s="70">
        <f t="shared" si="1"/>
        <v>0</v>
      </c>
    </row>
    <row r="88" spans="1:8" ht="15" hidden="1">
      <c r="A88" s="99"/>
      <c r="B88" s="99"/>
      <c r="C88" s="95">
        <v>4216</v>
      </c>
      <c r="D88" s="100" t="s">
        <v>108</v>
      </c>
      <c r="E88" s="70"/>
      <c r="F88" s="71"/>
      <c r="G88" s="77"/>
      <c r="H88" s="70" t="e">
        <f t="shared" si="1"/>
        <v>#DIV/0!</v>
      </c>
    </row>
    <row r="89" spans="1:8" ht="15" hidden="1">
      <c r="A89" s="101"/>
      <c r="B89" s="102"/>
      <c r="C89" s="98">
        <v>4216</v>
      </c>
      <c r="D89" s="100" t="s">
        <v>108</v>
      </c>
      <c r="E89" s="75"/>
      <c r="F89" s="76"/>
      <c r="G89" s="77"/>
      <c r="H89" s="70" t="e">
        <f t="shared" si="1"/>
        <v>#DIV/0!</v>
      </c>
    </row>
    <row r="90" spans="1:8" ht="15">
      <c r="A90" s="101">
        <v>433</v>
      </c>
      <c r="B90" s="102"/>
      <c r="C90" s="98">
        <v>4222</v>
      </c>
      <c r="D90" s="100" t="s">
        <v>109</v>
      </c>
      <c r="E90" s="75">
        <v>0</v>
      </c>
      <c r="F90" s="76">
        <v>20</v>
      </c>
      <c r="G90" s="77">
        <v>20</v>
      </c>
      <c r="H90" s="70">
        <f t="shared" si="1"/>
        <v>100</v>
      </c>
    </row>
    <row r="91" spans="1:8" ht="15">
      <c r="A91" s="101"/>
      <c r="B91" s="102"/>
      <c r="C91" s="98">
        <v>4223</v>
      </c>
      <c r="D91" s="100" t="s">
        <v>110</v>
      </c>
      <c r="E91" s="75">
        <v>30000</v>
      </c>
      <c r="F91" s="76">
        <v>17995.4</v>
      </c>
      <c r="G91" s="77">
        <v>0</v>
      </c>
      <c r="H91" s="70">
        <f t="shared" si="1"/>
        <v>0</v>
      </c>
    </row>
    <row r="92" spans="1:8" ht="15" hidden="1">
      <c r="A92" s="101"/>
      <c r="B92" s="102">
        <v>2212</v>
      </c>
      <c r="C92" s="98">
        <v>2322</v>
      </c>
      <c r="D92" s="100" t="s">
        <v>111</v>
      </c>
      <c r="E92" s="75"/>
      <c r="F92" s="76"/>
      <c r="G92" s="77"/>
      <c r="H92" s="70" t="e">
        <f t="shared" si="1"/>
        <v>#DIV/0!</v>
      </c>
    </row>
    <row r="93" spans="1:8" ht="15">
      <c r="A93" s="101"/>
      <c r="B93" s="102"/>
      <c r="C93" s="98">
        <v>4223</v>
      </c>
      <c r="D93" s="100" t="s">
        <v>112</v>
      </c>
      <c r="E93" s="75">
        <v>0</v>
      </c>
      <c r="F93" s="76">
        <v>3541.3</v>
      </c>
      <c r="G93" s="77">
        <v>0</v>
      </c>
      <c r="H93" s="70">
        <f t="shared" si="1"/>
        <v>0</v>
      </c>
    </row>
    <row r="94" spans="1:8" ht="15">
      <c r="A94" s="101"/>
      <c r="B94" s="102">
        <v>2212</v>
      </c>
      <c r="C94" s="98">
        <v>2324</v>
      </c>
      <c r="D94" s="100" t="s">
        <v>113</v>
      </c>
      <c r="E94" s="75">
        <v>0</v>
      </c>
      <c r="F94" s="76">
        <v>0</v>
      </c>
      <c r="G94" s="77">
        <v>17.1</v>
      </c>
      <c r="H94" s="70" t="e">
        <f t="shared" si="1"/>
        <v>#DIV/0!</v>
      </c>
    </row>
    <row r="95" spans="1:8" ht="15" hidden="1">
      <c r="A95" s="101"/>
      <c r="B95" s="102">
        <v>2219</v>
      </c>
      <c r="C95" s="103">
        <v>2321</v>
      </c>
      <c r="D95" s="100" t="s">
        <v>114</v>
      </c>
      <c r="E95" s="75"/>
      <c r="F95" s="76"/>
      <c r="G95" s="77"/>
      <c r="H95" s="70" t="e">
        <f t="shared" si="1"/>
        <v>#DIV/0!</v>
      </c>
    </row>
    <row r="96" spans="1:8" ht="15" hidden="1">
      <c r="A96" s="101"/>
      <c r="B96" s="102">
        <v>2219</v>
      </c>
      <c r="C96" s="98">
        <v>2324</v>
      </c>
      <c r="D96" s="100" t="s">
        <v>115</v>
      </c>
      <c r="E96" s="75"/>
      <c r="F96" s="76"/>
      <c r="G96" s="77"/>
      <c r="H96" s="70" t="e">
        <f t="shared" si="1"/>
        <v>#DIV/0!</v>
      </c>
    </row>
    <row r="97" spans="1:8" ht="15" hidden="1">
      <c r="A97" s="101"/>
      <c r="B97" s="102">
        <v>2221</v>
      </c>
      <c r="C97" s="103">
        <v>2329</v>
      </c>
      <c r="D97" s="100" t="s">
        <v>116</v>
      </c>
      <c r="E97" s="75"/>
      <c r="F97" s="76"/>
      <c r="G97" s="77"/>
      <c r="H97" s="70" t="e">
        <f t="shared" si="1"/>
        <v>#DIV/0!</v>
      </c>
    </row>
    <row r="98" spans="1:8" ht="15">
      <c r="A98" s="104"/>
      <c r="B98" s="69">
        <v>3421</v>
      </c>
      <c r="C98" s="69">
        <v>2111</v>
      </c>
      <c r="D98" s="69" t="s">
        <v>117</v>
      </c>
      <c r="E98" s="105">
        <v>0</v>
      </c>
      <c r="F98" s="71">
        <v>0</v>
      </c>
      <c r="G98" s="72">
        <v>12.1</v>
      </c>
      <c r="H98" s="70" t="e">
        <f t="shared" si="1"/>
        <v>#DIV/0!</v>
      </c>
    </row>
    <row r="99" spans="1:8" ht="15">
      <c r="A99" s="106"/>
      <c r="B99" s="98">
        <v>3631</v>
      </c>
      <c r="C99" s="69">
        <v>2324</v>
      </c>
      <c r="D99" s="69" t="s">
        <v>118</v>
      </c>
      <c r="E99" s="105">
        <v>0</v>
      </c>
      <c r="F99" s="71">
        <v>1016.8</v>
      </c>
      <c r="G99" s="72">
        <v>1016.8</v>
      </c>
      <c r="H99" s="70">
        <f t="shared" si="1"/>
        <v>100</v>
      </c>
    </row>
    <row r="100" spans="1:8" ht="15">
      <c r="A100" s="101"/>
      <c r="B100" s="102">
        <v>3635</v>
      </c>
      <c r="C100" s="98">
        <v>3122</v>
      </c>
      <c r="D100" s="100" t="s">
        <v>119</v>
      </c>
      <c r="E100" s="75">
        <v>0</v>
      </c>
      <c r="F100" s="76">
        <v>0</v>
      </c>
      <c r="G100" s="77">
        <v>260.2</v>
      </c>
      <c r="H100" s="70" t="e">
        <f t="shared" si="1"/>
        <v>#DIV/0!</v>
      </c>
    </row>
    <row r="101" spans="1:8" ht="15">
      <c r="A101" s="106"/>
      <c r="B101" s="98">
        <v>3725</v>
      </c>
      <c r="C101" s="69">
        <v>2324</v>
      </c>
      <c r="D101" s="69" t="s">
        <v>120</v>
      </c>
      <c r="E101" s="105">
        <v>2000</v>
      </c>
      <c r="F101" s="71">
        <v>2000</v>
      </c>
      <c r="G101" s="72">
        <v>1024.5</v>
      </c>
      <c r="H101" s="70">
        <f t="shared" si="1"/>
        <v>51.225</v>
      </c>
    </row>
    <row r="102" spans="1:8" ht="15">
      <c r="A102" s="106"/>
      <c r="B102" s="98">
        <v>3745</v>
      </c>
      <c r="C102" s="69">
        <v>2324</v>
      </c>
      <c r="D102" s="69" t="s">
        <v>121</v>
      </c>
      <c r="E102" s="105">
        <v>0</v>
      </c>
      <c r="F102" s="71">
        <v>0</v>
      </c>
      <c r="G102" s="72">
        <v>46.6</v>
      </c>
      <c r="H102" s="70" t="e">
        <f t="shared" si="1"/>
        <v>#DIV/0!</v>
      </c>
    </row>
    <row r="103" spans="1:8" ht="15.75" thickBot="1">
      <c r="A103" s="107"/>
      <c r="B103" s="80"/>
      <c r="C103" s="80"/>
      <c r="D103" s="80"/>
      <c r="E103" s="81"/>
      <c r="F103" s="82"/>
      <c r="G103" s="83"/>
      <c r="H103" s="81"/>
    </row>
    <row r="104" spans="1:8" s="89" customFormat="1" ht="21.75" customHeight="1" thickBot="1" thickTop="1">
      <c r="A104" s="108"/>
      <c r="B104" s="84"/>
      <c r="C104" s="84"/>
      <c r="D104" s="85" t="s">
        <v>122</v>
      </c>
      <c r="E104" s="86">
        <f>SUM(E68:E103)</f>
        <v>51889</v>
      </c>
      <c r="F104" s="87">
        <f>SUM(F68:F103)</f>
        <v>43327.00000000001</v>
      </c>
      <c r="G104" s="88">
        <f>SUM(G68:G103)</f>
        <v>4609.8</v>
      </c>
      <c r="H104" s="86">
        <f>(G104/F104)*100</f>
        <v>10.639555011886351</v>
      </c>
    </row>
    <row r="105" spans="1:8" ht="15" customHeight="1" hidden="1">
      <c r="A105" s="109"/>
      <c r="B105" s="109"/>
      <c r="C105" s="109"/>
      <c r="D105" s="52"/>
      <c r="E105" s="110"/>
      <c r="F105" s="110"/>
      <c r="G105" s="48"/>
      <c r="H105" s="48"/>
    </row>
    <row r="106" spans="1:8" ht="15" customHeight="1" hidden="1">
      <c r="A106" s="109"/>
      <c r="B106" s="109"/>
      <c r="C106" s="109"/>
      <c r="D106" s="52"/>
      <c r="E106" s="110"/>
      <c r="F106" s="110"/>
      <c r="G106" s="110"/>
      <c r="H106" s="110"/>
    </row>
    <row r="107" spans="1:8" ht="15" customHeight="1" thickBot="1">
      <c r="A107" s="109"/>
      <c r="B107" s="109"/>
      <c r="C107" s="109"/>
      <c r="D107" s="52"/>
      <c r="E107" s="110"/>
      <c r="F107" s="110"/>
      <c r="G107" s="110"/>
      <c r="H107" s="110"/>
    </row>
    <row r="108" spans="1:8" ht="15.75">
      <c r="A108" s="57" t="s">
        <v>25</v>
      </c>
      <c r="B108" s="57" t="s">
        <v>26</v>
      </c>
      <c r="C108" s="57" t="s">
        <v>27</v>
      </c>
      <c r="D108" s="58" t="s">
        <v>28</v>
      </c>
      <c r="E108" s="59" t="s">
        <v>29</v>
      </c>
      <c r="F108" s="59" t="s">
        <v>29</v>
      </c>
      <c r="G108" s="59" t="s">
        <v>8</v>
      </c>
      <c r="H108" s="59" t="s">
        <v>30</v>
      </c>
    </row>
    <row r="109" spans="1:8" ht="15.75" customHeight="1" thickBot="1">
      <c r="A109" s="60"/>
      <c r="B109" s="60"/>
      <c r="C109" s="60"/>
      <c r="D109" s="61"/>
      <c r="E109" s="62" t="s">
        <v>31</v>
      </c>
      <c r="F109" s="62" t="s">
        <v>32</v>
      </c>
      <c r="G109" s="63" t="s">
        <v>33</v>
      </c>
      <c r="H109" s="62" t="s">
        <v>34</v>
      </c>
    </row>
    <row r="110" spans="1:8" ht="16.5" customHeight="1" thickTop="1">
      <c r="A110" s="91">
        <v>30</v>
      </c>
      <c r="B110" s="64"/>
      <c r="C110" s="64"/>
      <c r="D110" s="65" t="s">
        <v>123</v>
      </c>
      <c r="E110" s="111"/>
      <c r="F110" s="112"/>
      <c r="G110" s="113"/>
      <c r="H110" s="111"/>
    </row>
    <row r="111" spans="1:8" ht="15" customHeight="1">
      <c r="A111" s="114"/>
      <c r="B111" s="115"/>
      <c r="C111" s="115"/>
      <c r="D111" s="115"/>
      <c r="E111" s="70"/>
      <c r="F111" s="71"/>
      <c r="G111" s="72"/>
      <c r="H111" s="70"/>
    </row>
    <row r="112" spans="1:8" ht="15" hidden="1">
      <c r="A112" s="104"/>
      <c r="B112" s="69"/>
      <c r="C112" s="69">
        <v>1361</v>
      </c>
      <c r="D112" s="69" t="s">
        <v>37</v>
      </c>
      <c r="E112" s="116"/>
      <c r="F112" s="117"/>
      <c r="G112" s="118"/>
      <c r="H112" s="70" t="e">
        <f>(#REF!/F112)*100</f>
        <v>#REF!</v>
      </c>
    </row>
    <row r="113" spans="1:8" ht="15">
      <c r="A113" s="104"/>
      <c r="B113" s="69"/>
      <c r="C113" s="69">
        <v>2460</v>
      </c>
      <c r="D113" s="69" t="s">
        <v>124</v>
      </c>
      <c r="E113" s="116">
        <v>0</v>
      </c>
      <c r="F113" s="117">
        <v>15</v>
      </c>
      <c r="G113" s="118">
        <v>9</v>
      </c>
      <c r="H113" s="70">
        <f aca="true" t="shared" si="2" ref="H113:H142">(G113/F113)*100</f>
        <v>60</v>
      </c>
    </row>
    <row r="114" spans="1:8" ht="15" customHeight="1" hidden="1">
      <c r="A114" s="104">
        <v>98071</v>
      </c>
      <c r="B114" s="69"/>
      <c r="C114" s="69">
        <v>4111</v>
      </c>
      <c r="D114" s="69" t="s">
        <v>125</v>
      </c>
      <c r="E114" s="116"/>
      <c r="F114" s="117"/>
      <c r="G114" s="118"/>
      <c r="H114" s="70" t="e">
        <f t="shared" si="2"/>
        <v>#DIV/0!</v>
      </c>
    </row>
    <row r="115" spans="1:8" ht="15" customHeight="1" hidden="1">
      <c r="A115" s="104">
        <v>98187</v>
      </c>
      <c r="B115" s="69"/>
      <c r="C115" s="69">
        <v>4111</v>
      </c>
      <c r="D115" s="69" t="s">
        <v>126</v>
      </c>
      <c r="E115" s="116"/>
      <c r="F115" s="117"/>
      <c r="G115" s="118"/>
      <c r="H115" s="70" t="e">
        <f t="shared" si="2"/>
        <v>#DIV/0!</v>
      </c>
    </row>
    <row r="116" spans="1:8" ht="15" hidden="1">
      <c r="A116" s="104">
        <v>98007</v>
      </c>
      <c r="B116" s="69"/>
      <c r="C116" s="69">
        <v>4111</v>
      </c>
      <c r="D116" s="69" t="s">
        <v>127</v>
      </c>
      <c r="E116" s="105"/>
      <c r="F116" s="71"/>
      <c r="G116" s="72"/>
      <c r="H116" s="70" t="e">
        <f t="shared" si="2"/>
        <v>#DIV/0!</v>
      </c>
    </row>
    <row r="117" spans="1:8" ht="15">
      <c r="A117" s="104">
        <v>98008</v>
      </c>
      <c r="B117" s="69"/>
      <c r="C117" s="69">
        <v>4111</v>
      </c>
      <c r="D117" s="69" t="s">
        <v>128</v>
      </c>
      <c r="E117" s="105">
        <v>0</v>
      </c>
      <c r="F117" s="71">
        <v>653</v>
      </c>
      <c r="G117" s="72">
        <v>469.4</v>
      </c>
      <c r="H117" s="70">
        <f t="shared" si="2"/>
        <v>71.88361408882082</v>
      </c>
    </row>
    <row r="118" spans="1:8" ht="15" hidden="1">
      <c r="A118" s="104">
        <v>98193</v>
      </c>
      <c r="B118" s="69"/>
      <c r="C118" s="69">
        <v>4111</v>
      </c>
      <c r="D118" s="69" t="s">
        <v>129</v>
      </c>
      <c r="E118" s="119"/>
      <c r="F118" s="67"/>
      <c r="G118" s="72"/>
      <c r="H118" s="70" t="e">
        <f t="shared" si="2"/>
        <v>#DIV/0!</v>
      </c>
    </row>
    <row r="119" spans="1:8" ht="15" customHeight="1">
      <c r="A119" s="104">
        <v>13011</v>
      </c>
      <c r="B119" s="69"/>
      <c r="C119" s="69">
        <v>4111</v>
      </c>
      <c r="D119" s="69" t="s">
        <v>130</v>
      </c>
      <c r="E119" s="116">
        <v>0</v>
      </c>
      <c r="F119" s="117">
        <v>2653.7</v>
      </c>
      <c r="G119" s="118">
        <v>2653.7</v>
      </c>
      <c r="H119" s="70">
        <f t="shared" si="2"/>
        <v>100</v>
      </c>
    </row>
    <row r="120" spans="1:8" ht="14.25" customHeight="1" hidden="1">
      <c r="A120" s="104">
        <v>27003</v>
      </c>
      <c r="B120" s="69"/>
      <c r="C120" s="69">
        <v>4116</v>
      </c>
      <c r="D120" s="69" t="s">
        <v>131</v>
      </c>
      <c r="E120" s="116"/>
      <c r="F120" s="117"/>
      <c r="G120" s="118"/>
      <c r="H120" s="70" t="e">
        <f t="shared" si="2"/>
        <v>#DIV/0!</v>
      </c>
    </row>
    <row r="121" spans="1:8" ht="15" customHeight="1" hidden="1">
      <c r="A121" s="104"/>
      <c r="B121" s="69"/>
      <c r="C121" s="69">
        <v>4121</v>
      </c>
      <c r="D121" s="69" t="s">
        <v>132</v>
      </c>
      <c r="E121" s="116"/>
      <c r="F121" s="117"/>
      <c r="G121" s="118"/>
      <c r="H121" s="70" t="e">
        <f t="shared" si="2"/>
        <v>#DIV/0!</v>
      </c>
    </row>
    <row r="122" spans="1:8" ht="15" customHeight="1" hidden="1">
      <c r="A122" s="104"/>
      <c r="B122" s="69"/>
      <c r="C122" s="69">
        <v>4122</v>
      </c>
      <c r="D122" s="69" t="s">
        <v>133</v>
      </c>
      <c r="E122" s="116"/>
      <c r="F122" s="117"/>
      <c r="G122" s="118"/>
      <c r="H122" s="70" t="e">
        <f t="shared" si="2"/>
        <v>#DIV/0!</v>
      </c>
    </row>
    <row r="123" spans="1:8" ht="15" hidden="1">
      <c r="A123" s="104"/>
      <c r="B123" s="69"/>
      <c r="C123" s="69">
        <v>4132</v>
      </c>
      <c r="D123" s="69" t="s">
        <v>134</v>
      </c>
      <c r="E123" s="116"/>
      <c r="F123" s="117"/>
      <c r="G123" s="118"/>
      <c r="H123" s="70" t="e">
        <f t="shared" si="2"/>
        <v>#DIV/0!</v>
      </c>
    </row>
    <row r="124" spans="1:8" ht="15" hidden="1">
      <c r="A124" s="104"/>
      <c r="B124" s="69"/>
      <c r="C124" s="69">
        <v>4216</v>
      </c>
      <c r="D124" s="69" t="s">
        <v>135</v>
      </c>
      <c r="E124" s="116"/>
      <c r="F124" s="117"/>
      <c r="G124" s="118"/>
      <c r="H124" s="70" t="e">
        <f t="shared" si="2"/>
        <v>#DIV/0!</v>
      </c>
    </row>
    <row r="125" spans="1:8" ht="15" customHeight="1" hidden="1">
      <c r="A125" s="104"/>
      <c r="B125" s="69"/>
      <c r="C125" s="69">
        <v>4222</v>
      </c>
      <c r="D125" s="69" t="s">
        <v>136</v>
      </c>
      <c r="E125" s="116"/>
      <c r="F125" s="117"/>
      <c r="G125" s="118"/>
      <c r="H125" s="70" t="e">
        <f t="shared" si="2"/>
        <v>#DIV/0!</v>
      </c>
    </row>
    <row r="126" spans="1:8" ht="15" customHeight="1">
      <c r="A126" s="69">
        <v>14013</v>
      </c>
      <c r="B126" s="69"/>
      <c r="C126" s="69">
        <v>4116</v>
      </c>
      <c r="D126" s="69" t="s">
        <v>137</v>
      </c>
      <c r="E126" s="70">
        <v>0</v>
      </c>
      <c r="F126" s="71">
        <v>2916</v>
      </c>
      <c r="G126" s="72">
        <v>2916</v>
      </c>
      <c r="H126" s="70">
        <f t="shared" si="2"/>
        <v>100</v>
      </c>
    </row>
    <row r="127" spans="1:8" ht="15">
      <c r="A127" s="104"/>
      <c r="B127" s="69">
        <v>3341</v>
      </c>
      <c r="C127" s="69">
        <v>2111</v>
      </c>
      <c r="D127" s="69" t="s">
        <v>138</v>
      </c>
      <c r="E127" s="120">
        <v>3</v>
      </c>
      <c r="F127" s="121">
        <v>3</v>
      </c>
      <c r="G127" s="122">
        <v>3</v>
      </c>
      <c r="H127" s="70">
        <f t="shared" si="2"/>
        <v>100</v>
      </c>
    </row>
    <row r="128" spans="1:8" ht="15">
      <c r="A128" s="104"/>
      <c r="B128" s="69">
        <v>3349</v>
      </c>
      <c r="C128" s="69">
        <v>2111</v>
      </c>
      <c r="D128" s="69" t="s">
        <v>139</v>
      </c>
      <c r="E128" s="120">
        <v>900</v>
      </c>
      <c r="F128" s="121">
        <v>900</v>
      </c>
      <c r="G128" s="122">
        <v>633.8</v>
      </c>
      <c r="H128" s="70">
        <f t="shared" si="2"/>
        <v>70.42222222222222</v>
      </c>
    </row>
    <row r="129" spans="1:8" ht="15" hidden="1">
      <c r="A129" s="104"/>
      <c r="B129" s="69">
        <v>5512</v>
      </c>
      <c r="C129" s="69">
        <v>2132</v>
      </c>
      <c r="D129" s="69" t="s">
        <v>140</v>
      </c>
      <c r="E129" s="70"/>
      <c r="F129" s="71"/>
      <c r="G129" s="72"/>
      <c r="H129" s="70" t="e">
        <f t="shared" si="2"/>
        <v>#DIV/0!</v>
      </c>
    </row>
    <row r="130" spans="1:8" ht="15">
      <c r="A130" s="104"/>
      <c r="B130" s="69">
        <v>5512</v>
      </c>
      <c r="C130" s="69">
        <v>2324</v>
      </c>
      <c r="D130" s="69" t="s">
        <v>141</v>
      </c>
      <c r="E130" s="70">
        <v>0</v>
      </c>
      <c r="F130" s="71">
        <v>0</v>
      </c>
      <c r="G130" s="72">
        <v>20.2</v>
      </c>
      <c r="H130" s="70" t="e">
        <f t="shared" si="2"/>
        <v>#DIV/0!</v>
      </c>
    </row>
    <row r="131" spans="1:8" ht="15" hidden="1">
      <c r="A131" s="104"/>
      <c r="B131" s="69">
        <v>5512</v>
      </c>
      <c r="C131" s="69">
        <v>3113</v>
      </c>
      <c r="D131" s="69" t="s">
        <v>142</v>
      </c>
      <c r="E131" s="70"/>
      <c r="F131" s="71"/>
      <c r="G131" s="68"/>
      <c r="H131" s="70" t="e">
        <f t="shared" si="2"/>
        <v>#DIV/0!</v>
      </c>
    </row>
    <row r="132" spans="1:8" ht="15">
      <c r="A132" s="104"/>
      <c r="B132" s="69">
        <v>6171</v>
      </c>
      <c r="C132" s="69">
        <v>2111</v>
      </c>
      <c r="D132" s="69" t="s">
        <v>143</v>
      </c>
      <c r="E132" s="120">
        <v>150</v>
      </c>
      <c r="F132" s="121">
        <v>150</v>
      </c>
      <c r="G132" s="122">
        <v>118.1</v>
      </c>
      <c r="H132" s="70">
        <f t="shared" si="2"/>
        <v>78.73333333333333</v>
      </c>
    </row>
    <row r="133" spans="1:8" ht="15">
      <c r="A133" s="104"/>
      <c r="B133" s="69">
        <v>6171</v>
      </c>
      <c r="C133" s="69">
        <v>2132</v>
      </c>
      <c r="D133" s="69" t="s">
        <v>144</v>
      </c>
      <c r="E133" s="105">
        <v>60</v>
      </c>
      <c r="F133" s="71">
        <v>60</v>
      </c>
      <c r="G133" s="72">
        <v>60.6</v>
      </c>
      <c r="H133" s="70">
        <f t="shared" si="2"/>
        <v>101</v>
      </c>
    </row>
    <row r="134" spans="1:8" ht="15" hidden="1">
      <c r="A134" s="104"/>
      <c r="B134" s="69">
        <v>6171</v>
      </c>
      <c r="C134" s="69">
        <v>2210</v>
      </c>
      <c r="D134" s="69" t="s">
        <v>145</v>
      </c>
      <c r="E134" s="75"/>
      <c r="F134" s="76"/>
      <c r="G134" s="77"/>
      <c r="H134" s="70" t="e">
        <f t="shared" si="2"/>
        <v>#DIV/0!</v>
      </c>
    </row>
    <row r="135" spans="1:8" ht="15" hidden="1">
      <c r="A135" s="104"/>
      <c r="B135" s="69">
        <v>6171</v>
      </c>
      <c r="C135" s="69">
        <v>2310</v>
      </c>
      <c r="D135" s="69" t="s">
        <v>146</v>
      </c>
      <c r="E135" s="70"/>
      <c r="F135" s="71"/>
      <c r="G135" s="72"/>
      <c r="H135" s="70" t="e">
        <f t="shared" si="2"/>
        <v>#DIV/0!</v>
      </c>
    </row>
    <row r="136" spans="1:8" ht="15" hidden="1">
      <c r="A136" s="104"/>
      <c r="B136" s="69">
        <v>6171</v>
      </c>
      <c r="C136" s="69">
        <v>2310</v>
      </c>
      <c r="D136" s="69" t="s">
        <v>146</v>
      </c>
      <c r="E136" s="70"/>
      <c r="F136" s="71"/>
      <c r="G136" s="72"/>
      <c r="H136" s="70" t="e">
        <f t="shared" si="2"/>
        <v>#DIV/0!</v>
      </c>
    </row>
    <row r="137" spans="1:8" ht="15" hidden="1">
      <c r="A137" s="104"/>
      <c r="B137" s="69">
        <v>6171</v>
      </c>
      <c r="C137" s="69">
        <v>2133</v>
      </c>
      <c r="D137" s="69" t="s">
        <v>147</v>
      </c>
      <c r="E137" s="123"/>
      <c r="F137" s="121"/>
      <c r="G137" s="122"/>
      <c r="H137" s="70" t="e">
        <f t="shared" si="2"/>
        <v>#DIV/0!</v>
      </c>
    </row>
    <row r="138" spans="1:8" ht="15" hidden="1">
      <c r="A138" s="104"/>
      <c r="B138" s="69">
        <v>6171</v>
      </c>
      <c r="C138" s="69">
        <v>2310</v>
      </c>
      <c r="D138" s="69" t="s">
        <v>148</v>
      </c>
      <c r="E138" s="123"/>
      <c r="F138" s="121"/>
      <c r="G138" s="122"/>
      <c r="H138" s="70" t="e">
        <f t="shared" si="2"/>
        <v>#DIV/0!</v>
      </c>
    </row>
    <row r="139" spans="1:8" ht="15" hidden="1">
      <c r="A139" s="104"/>
      <c r="B139" s="69">
        <v>6171</v>
      </c>
      <c r="C139" s="69">
        <v>2322</v>
      </c>
      <c r="D139" s="69" t="s">
        <v>149</v>
      </c>
      <c r="E139" s="105"/>
      <c r="F139" s="71"/>
      <c r="G139" s="72"/>
      <c r="H139" s="70" t="e">
        <f t="shared" si="2"/>
        <v>#DIV/0!</v>
      </c>
    </row>
    <row r="140" spans="1:8" ht="15">
      <c r="A140" s="104"/>
      <c r="B140" s="69">
        <v>6171</v>
      </c>
      <c r="C140" s="69">
        <v>2324</v>
      </c>
      <c r="D140" s="69" t="s">
        <v>150</v>
      </c>
      <c r="E140" s="105">
        <v>50</v>
      </c>
      <c r="F140" s="71">
        <v>50</v>
      </c>
      <c r="G140" s="72">
        <v>992.5</v>
      </c>
      <c r="H140" s="70">
        <f t="shared" si="2"/>
        <v>1985.0000000000002</v>
      </c>
    </row>
    <row r="141" spans="1:8" ht="15">
      <c r="A141" s="104"/>
      <c r="B141" s="69">
        <v>6171</v>
      </c>
      <c r="C141" s="69">
        <v>2329</v>
      </c>
      <c r="D141" s="69" t="s">
        <v>151</v>
      </c>
      <c r="E141" s="105">
        <v>0</v>
      </c>
      <c r="F141" s="71">
        <v>0</v>
      </c>
      <c r="G141" s="72">
        <v>5.6</v>
      </c>
      <c r="H141" s="70" t="e">
        <f t="shared" si="2"/>
        <v>#DIV/0!</v>
      </c>
    </row>
    <row r="142" spans="1:8" ht="15">
      <c r="A142" s="104"/>
      <c r="B142" s="69">
        <v>6409</v>
      </c>
      <c r="C142" s="69">
        <v>2328</v>
      </c>
      <c r="D142" s="69" t="s">
        <v>152</v>
      </c>
      <c r="E142" s="105">
        <v>0</v>
      </c>
      <c r="F142" s="71">
        <v>0</v>
      </c>
      <c r="G142" s="72">
        <v>0</v>
      </c>
      <c r="H142" s="70" t="e">
        <f t="shared" si="2"/>
        <v>#DIV/0!</v>
      </c>
    </row>
    <row r="143" spans="1:8" ht="15" hidden="1">
      <c r="A143" s="104"/>
      <c r="B143" s="69"/>
      <c r="C143" s="69"/>
      <c r="D143" s="69"/>
      <c r="E143" s="105">
        <v>0</v>
      </c>
      <c r="F143" s="71">
        <v>0</v>
      </c>
      <c r="G143" s="72"/>
      <c r="H143" s="70" t="e">
        <f>(#REF!/F143)*100</f>
        <v>#REF!</v>
      </c>
    </row>
    <row r="144" spans="1:8" ht="15.75" thickBot="1">
      <c r="A144" s="124"/>
      <c r="B144" s="125"/>
      <c r="C144" s="125"/>
      <c r="D144" s="125"/>
      <c r="E144" s="126"/>
      <c r="F144" s="127"/>
      <c r="G144" s="128"/>
      <c r="H144" s="126"/>
    </row>
    <row r="145" spans="1:8" s="89" customFormat="1" ht="21.75" customHeight="1" thickBot="1" thickTop="1">
      <c r="A145" s="129"/>
      <c r="B145" s="130"/>
      <c r="C145" s="130"/>
      <c r="D145" s="131" t="s">
        <v>153</v>
      </c>
      <c r="E145" s="132">
        <f>SUM(E112:E144)</f>
        <v>1163</v>
      </c>
      <c r="F145" s="133">
        <f>SUM(F112:F144)</f>
        <v>7400.7</v>
      </c>
      <c r="G145" s="134">
        <f>SUM(G111:G144)</f>
        <v>7881.9000000000015</v>
      </c>
      <c r="H145" s="86">
        <f>(G145/F145)*100</f>
        <v>106.50208764035835</v>
      </c>
    </row>
    <row r="146" spans="1:8" ht="15" customHeight="1">
      <c r="A146" s="109"/>
      <c r="B146" s="109"/>
      <c r="C146" s="109"/>
      <c r="D146" s="52"/>
      <c r="E146" s="110"/>
      <c r="F146" s="110"/>
      <c r="G146" s="110"/>
      <c r="H146" s="110"/>
    </row>
    <row r="147" spans="1:8" ht="15" customHeight="1">
      <c r="A147" s="109"/>
      <c r="B147" s="109"/>
      <c r="C147" s="109"/>
      <c r="D147" s="52"/>
      <c r="E147" s="110"/>
      <c r="F147" s="110"/>
      <c r="G147" s="110"/>
      <c r="H147" s="110"/>
    </row>
    <row r="148" spans="1:8" ht="12.75" customHeight="1" hidden="1">
      <c r="A148" s="109"/>
      <c r="B148" s="109"/>
      <c r="C148" s="109"/>
      <c r="D148" s="52"/>
      <c r="E148" s="110"/>
      <c r="F148" s="110"/>
      <c r="G148" s="110"/>
      <c r="H148" s="110"/>
    </row>
    <row r="149" spans="1:8" ht="15" customHeight="1" thickBot="1">
      <c r="A149" s="109"/>
      <c r="B149" s="109"/>
      <c r="C149" s="109"/>
      <c r="D149" s="52"/>
      <c r="E149" s="110"/>
      <c r="F149" s="110"/>
      <c r="G149" s="110"/>
      <c r="H149" s="110"/>
    </row>
    <row r="150" spans="1:8" ht="15.75">
      <c r="A150" s="57" t="s">
        <v>25</v>
      </c>
      <c r="B150" s="57" t="s">
        <v>26</v>
      </c>
      <c r="C150" s="57" t="s">
        <v>27</v>
      </c>
      <c r="D150" s="58" t="s">
        <v>28</v>
      </c>
      <c r="E150" s="59" t="s">
        <v>29</v>
      </c>
      <c r="F150" s="59" t="s">
        <v>29</v>
      </c>
      <c r="G150" s="59" t="s">
        <v>8</v>
      </c>
      <c r="H150" s="59" t="s">
        <v>30</v>
      </c>
    </row>
    <row r="151" spans="1:8" ht="15.75" customHeight="1" thickBot="1">
      <c r="A151" s="60"/>
      <c r="B151" s="60"/>
      <c r="C151" s="60"/>
      <c r="D151" s="61"/>
      <c r="E151" s="62" t="s">
        <v>31</v>
      </c>
      <c r="F151" s="62" t="s">
        <v>32</v>
      </c>
      <c r="G151" s="63" t="s">
        <v>33</v>
      </c>
      <c r="H151" s="62" t="s">
        <v>34</v>
      </c>
    </row>
    <row r="152" spans="1:8" ht="16.5" customHeight="1" thickTop="1">
      <c r="A152" s="64">
        <v>50</v>
      </c>
      <c r="B152" s="64"/>
      <c r="C152" s="64"/>
      <c r="D152" s="65" t="s">
        <v>154</v>
      </c>
      <c r="E152" s="66"/>
      <c r="F152" s="67"/>
      <c r="G152" s="68"/>
      <c r="H152" s="66"/>
    </row>
    <row r="153" spans="1:8" ht="15" customHeight="1">
      <c r="A153" s="69"/>
      <c r="B153" s="69"/>
      <c r="C153" s="69"/>
      <c r="D153" s="115"/>
      <c r="E153" s="70"/>
      <c r="F153" s="71"/>
      <c r="G153" s="72"/>
      <c r="H153" s="70"/>
    </row>
    <row r="154" spans="1:8" ht="15" hidden="1">
      <c r="A154" s="69"/>
      <c r="B154" s="69"/>
      <c r="C154" s="69">
        <v>1361</v>
      </c>
      <c r="D154" s="69" t="s">
        <v>37</v>
      </c>
      <c r="E154" s="105"/>
      <c r="F154" s="71"/>
      <c r="G154" s="72"/>
      <c r="H154" s="70" t="e">
        <f>(#REF!/F154)*100</f>
        <v>#REF!</v>
      </c>
    </row>
    <row r="155" spans="1:8" ht="15">
      <c r="A155" s="69"/>
      <c r="B155" s="69"/>
      <c r="C155" s="69">
        <v>2451</v>
      </c>
      <c r="D155" s="69" t="s">
        <v>155</v>
      </c>
      <c r="E155" s="70">
        <v>4000</v>
      </c>
      <c r="F155" s="71">
        <v>4000</v>
      </c>
      <c r="G155" s="72">
        <v>4000</v>
      </c>
      <c r="H155" s="70">
        <f aca="true" t="shared" si="3" ref="H155:H171">(G155/F155)*100</f>
        <v>100</v>
      </c>
    </row>
    <row r="156" spans="1:8" ht="15">
      <c r="A156" s="69">
        <v>13010</v>
      </c>
      <c r="B156" s="69"/>
      <c r="C156" s="69">
        <v>4116</v>
      </c>
      <c r="D156" s="69" t="s">
        <v>156</v>
      </c>
      <c r="E156" s="70">
        <v>0</v>
      </c>
      <c r="F156" s="71">
        <v>196</v>
      </c>
      <c r="G156" s="72">
        <v>196</v>
      </c>
      <c r="H156" s="70">
        <f t="shared" si="3"/>
        <v>100</v>
      </c>
    </row>
    <row r="157" spans="1:8" ht="15" hidden="1">
      <c r="A157" s="69">
        <v>434</v>
      </c>
      <c r="B157" s="69"/>
      <c r="C157" s="69">
        <v>4122</v>
      </c>
      <c r="D157" s="69" t="s">
        <v>157</v>
      </c>
      <c r="E157" s="70"/>
      <c r="F157" s="71"/>
      <c r="G157" s="72"/>
      <c r="H157" s="70" t="e">
        <f t="shared" si="3"/>
        <v>#DIV/0!</v>
      </c>
    </row>
    <row r="158" spans="1:8" ht="15" customHeight="1">
      <c r="A158" s="69"/>
      <c r="B158" s="69">
        <v>3599</v>
      </c>
      <c r="C158" s="69">
        <v>2324</v>
      </c>
      <c r="D158" s="69" t="s">
        <v>158</v>
      </c>
      <c r="E158" s="70">
        <v>3</v>
      </c>
      <c r="F158" s="71">
        <v>3</v>
      </c>
      <c r="G158" s="72">
        <v>2.2</v>
      </c>
      <c r="H158" s="70">
        <f t="shared" si="3"/>
        <v>73.33333333333334</v>
      </c>
    </row>
    <row r="159" spans="1:8" ht="15" customHeight="1">
      <c r="A159" s="69"/>
      <c r="B159" s="69">
        <v>4171</v>
      </c>
      <c r="C159" s="69">
        <v>2229</v>
      </c>
      <c r="D159" s="69" t="s">
        <v>159</v>
      </c>
      <c r="E159" s="70">
        <v>0</v>
      </c>
      <c r="F159" s="71">
        <v>0</v>
      </c>
      <c r="G159" s="72">
        <v>9.6</v>
      </c>
      <c r="H159" s="70" t="e">
        <f t="shared" si="3"/>
        <v>#DIV/0!</v>
      </c>
    </row>
    <row r="160" spans="1:8" ht="15" customHeight="1">
      <c r="A160" s="69"/>
      <c r="B160" s="69">
        <v>4179</v>
      </c>
      <c r="C160" s="69">
        <v>2229</v>
      </c>
      <c r="D160" s="69" t="s">
        <v>160</v>
      </c>
      <c r="E160" s="70">
        <v>0</v>
      </c>
      <c r="F160" s="71">
        <v>0</v>
      </c>
      <c r="G160" s="72">
        <v>3.5</v>
      </c>
      <c r="H160" s="70" t="e">
        <f t="shared" si="3"/>
        <v>#DIV/0!</v>
      </c>
    </row>
    <row r="161" spans="1:8" ht="15">
      <c r="A161" s="69"/>
      <c r="B161" s="69">
        <v>4195</v>
      </c>
      <c r="C161" s="69">
        <v>2229</v>
      </c>
      <c r="D161" s="69" t="s">
        <v>161</v>
      </c>
      <c r="E161" s="70">
        <v>0</v>
      </c>
      <c r="F161" s="71">
        <v>0</v>
      </c>
      <c r="G161" s="72">
        <v>16</v>
      </c>
      <c r="H161" s="70" t="e">
        <f t="shared" si="3"/>
        <v>#DIV/0!</v>
      </c>
    </row>
    <row r="162" spans="1:8" ht="15" hidden="1">
      <c r="A162" s="69"/>
      <c r="B162" s="69">
        <v>4329</v>
      </c>
      <c r="C162" s="69">
        <v>2229</v>
      </c>
      <c r="D162" s="69" t="s">
        <v>162</v>
      </c>
      <c r="E162" s="70"/>
      <c r="F162" s="71"/>
      <c r="G162" s="72"/>
      <c r="H162" s="70" t="e">
        <f t="shared" si="3"/>
        <v>#DIV/0!</v>
      </c>
    </row>
    <row r="163" spans="1:8" ht="15" hidden="1">
      <c r="A163" s="69"/>
      <c r="B163" s="69">
        <v>4329</v>
      </c>
      <c r="C163" s="69">
        <v>2324</v>
      </c>
      <c r="D163" s="69" t="s">
        <v>163</v>
      </c>
      <c r="E163" s="70"/>
      <c r="F163" s="71"/>
      <c r="G163" s="72"/>
      <c r="H163" s="70" t="e">
        <f t="shared" si="3"/>
        <v>#DIV/0!</v>
      </c>
    </row>
    <row r="164" spans="1:8" ht="15" hidden="1">
      <c r="A164" s="69"/>
      <c r="B164" s="69">
        <v>4342</v>
      </c>
      <c r="C164" s="69">
        <v>2324</v>
      </c>
      <c r="D164" s="69" t="s">
        <v>164</v>
      </c>
      <c r="E164" s="70"/>
      <c r="F164" s="71"/>
      <c r="G164" s="72"/>
      <c r="H164" s="70" t="e">
        <f t="shared" si="3"/>
        <v>#DIV/0!</v>
      </c>
    </row>
    <row r="165" spans="1:8" ht="15" hidden="1">
      <c r="A165" s="69"/>
      <c r="B165" s="69">
        <v>4349</v>
      </c>
      <c r="C165" s="69">
        <v>2229</v>
      </c>
      <c r="D165" s="69" t="s">
        <v>165</v>
      </c>
      <c r="E165" s="70"/>
      <c r="F165" s="71"/>
      <c r="G165" s="72"/>
      <c r="H165" s="70" t="e">
        <f t="shared" si="3"/>
        <v>#DIV/0!</v>
      </c>
    </row>
    <row r="166" spans="1:8" ht="15" hidden="1">
      <c r="A166" s="69"/>
      <c r="B166" s="69">
        <v>4399</v>
      </c>
      <c r="C166" s="69">
        <v>2111</v>
      </c>
      <c r="D166" s="69" t="s">
        <v>166</v>
      </c>
      <c r="E166" s="70"/>
      <c r="F166" s="71"/>
      <c r="G166" s="72"/>
      <c r="H166" s="70" t="e">
        <f t="shared" si="3"/>
        <v>#DIV/0!</v>
      </c>
    </row>
    <row r="167" spans="1:8" ht="15" hidden="1">
      <c r="A167" s="69"/>
      <c r="B167" s="69">
        <v>6171</v>
      </c>
      <c r="C167" s="69">
        <v>2111</v>
      </c>
      <c r="D167" s="69" t="s">
        <v>167</v>
      </c>
      <c r="E167" s="70"/>
      <c r="F167" s="71"/>
      <c r="G167" s="72"/>
      <c r="H167" s="70" t="e">
        <f t="shared" si="3"/>
        <v>#DIV/0!</v>
      </c>
    </row>
    <row r="168" spans="1:8" ht="15">
      <c r="A168" s="69"/>
      <c r="B168" s="69">
        <v>4379</v>
      </c>
      <c r="C168" s="69">
        <v>2212</v>
      </c>
      <c r="D168" s="69" t="s">
        <v>168</v>
      </c>
      <c r="E168" s="70">
        <v>10</v>
      </c>
      <c r="F168" s="71">
        <v>10</v>
      </c>
      <c r="G168" s="72">
        <v>2.5</v>
      </c>
      <c r="H168" s="70">
        <f t="shared" si="3"/>
        <v>25</v>
      </c>
    </row>
    <row r="169" spans="1:8" ht="15">
      <c r="A169" s="74"/>
      <c r="B169" s="74">
        <v>4399</v>
      </c>
      <c r="C169" s="74">
        <v>2324</v>
      </c>
      <c r="D169" s="74" t="s">
        <v>169</v>
      </c>
      <c r="E169" s="75">
        <v>0</v>
      </c>
      <c r="F169" s="76">
        <v>0</v>
      </c>
      <c r="G169" s="72">
        <v>10</v>
      </c>
      <c r="H169" s="70" t="e">
        <f t="shared" si="3"/>
        <v>#DIV/0!</v>
      </c>
    </row>
    <row r="170" spans="1:8" ht="15" hidden="1">
      <c r="A170" s="69"/>
      <c r="B170" s="69">
        <v>6171</v>
      </c>
      <c r="C170" s="69">
        <v>2212</v>
      </c>
      <c r="D170" s="69" t="s">
        <v>168</v>
      </c>
      <c r="E170" s="70"/>
      <c r="F170" s="71"/>
      <c r="G170" s="72"/>
      <c r="H170" s="70" t="e">
        <f t="shared" si="3"/>
        <v>#DIV/0!</v>
      </c>
    </row>
    <row r="171" spans="1:8" ht="15">
      <c r="A171" s="74"/>
      <c r="B171" s="69">
        <v>6171</v>
      </c>
      <c r="C171" s="69">
        <v>2324</v>
      </c>
      <c r="D171" s="69" t="s">
        <v>170</v>
      </c>
      <c r="E171" s="70">
        <v>8</v>
      </c>
      <c r="F171" s="71">
        <v>8</v>
      </c>
      <c r="G171" s="72">
        <v>1</v>
      </c>
      <c r="H171" s="70">
        <f t="shared" si="3"/>
        <v>12.5</v>
      </c>
    </row>
    <row r="172" spans="1:8" ht="15" customHeight="1" thickBot="1">
      <c r="A172" s="125"/>
      <c r="B172" s="125"/>
      <c r="C172" s="125"/>
      <c r="D172" s="125"/>
      <c r="E172" s="126"/>
      <c r="F172" s="127"/>
      <c r="G172" s="128"/>
      <c r="H172" s="70"/>
    </row>
    <row r="173" spans="1:8" s="89" customFormat="1" ht="21.75" customHeight="1" thickBot="1" thickTop="1">
      <c r="A173" s="130"/>
      <c r="B173" s="130"/>
      <c r="C173" s="130"/>
      <c r="D173" s="131" t="s">
        <v>171</v>
      </c>
      <c r="E173" s="132">
        <f>SUM(E153:E172)</f>
        <v>4021</v>
      </c>
      <c r="F173" s="133">
        <f>SUM(F153:F172)</f>
        <v>4217</v>
      </c>
      <c r="G173" s="134">
        <f>SUM(G153:G172)</f>
        <v>4240.8</v>
      </c>
      <c r="H173" s="86">
        <f>(G173/F173)*100</f>
        <v>100.56438226227175</v>
      </c>
    </row>
    <row r="174" spans="1:8" ht="15" customHeight="1">
      <c r="A174" s="109"/>
      <c r="B174" s="89"/>
      <c r="C174" s="109"/>
      <c r="D174" s="135"/>
      <c r="E174" s="110"/>
      <c r="F174" s="110"/>
      <c r="G174" s="48"/>
      <c r="H174" s="48"/>
    </row>
    <row r="175" spans="1:8" ht="14.25" customHeight="1">
      <c r="A175" s="89"/>
      <c r="B175" s="89"/>
      <c r="C175" s="89"/>
      <c r="D175" s="89"/>
      <c r="E175" s="90"/>
      <c r="F175" s="90"/>
      <c r="G175" s="90"/>
      <c r="H175" s="90"/>
    </row>
    <row r="176" spans="1:8" ht="14.25" customHeight="1" thickBot="1">
      <c r="A176" s="89"/>
      <c r="B176" s="89"/>
      <c r="C176" s="89"/>
      <c r="D176" s="89"/>
      <c r="E176" s="90"/>
      <c r="F176" s="90"/>
      <c r="G176" s="90"/>
      <c r="H176" s="90"/>
    </row>
    <row r="177" spans="1:8" ht="13.5" customHeight="1" hidden="1">
      <c r="A177" s="89"/>
      <c r="B177" s="89"/>
      <c r="C177" s="89"/>
      <c r="D177" s="89"/>
      <c r="E177" s="90"/>
      <c r="F177" s="90"/>
      <c r="G177" s="90"/>
      <c r="H177" s="90"/>
    </row>
    <row r="178" spans="1:8" ht="13.5" customHeight="1" hidden="1">
      <c r="A178" s="89"/>
      <c r="B178" s="89"/>
      <c r="C178" s="89"/>
      <c r="D178" s="89"/>
      <c r="E178" s="90"/>
      <c r="F178" s="90"/>
      <c r="G178" s="90"/>
      <c r="H178" s="90"/>
    </row>
    <row r="179" spans="1:8" ht="13.5" customHeight="1" hidden="1" thickBot="1">
      <c r="A179" s="89"/>
      <c r="B179" s="89"/>
      <c r="C179" s="89"/>
      <c r="D179" s="89"/>
      <c r="E179" s="90"/>
      <c r="F179" s="90"/>
      <c r="G179" s="90"/>
      <c r="H179" s="90"/>
    </row>
    <row r="180" spans="1:8" ht="15.75">
      <c r="A180" s="57" t="s">
        <v>25</v>
      </c>
      <c r="B180" s="57" t="s">
        <v>26</v>
      </c>
      <c r="C180" s="57" t="s">
        <v>27</v>
      </c>
      <c r="D180" s="58" t="s">
        <v>28</v>
      </c>
      <c r="E180" s="59" t="s">
        <v>29</v>
      </c>
      <c r="F180" s="59" t="s">
        <v>29</v>
      </c>
      <c r="G180" s="59" t="s">
        <v>8</v>
      </c>
      <c r="H180" s="59" t="s">
        <v>30</v>
      </c>
    </row>
    <row r="181" spans="1:8" ht="15.75" customHeight="1" thickBot="1">
      <c r="A181" s="60"/>
      <c r="B181" s="60"/>
      <c r="C181" s="60"/>
      <c r="D181" s="61"/>
      <c r="E181" s="62" t="s">
        <v>31</v>
      </c>
      <c r="F181" s="62" t="s">
        <v>32</v>
      </c>
      <c r="G181" s="63" t="s">
        <v>33</v>
      </c>
      <c r="H181" s="62" t="s">
        <v>34</v>
      </c>
    </row>
    <row r="182" spans="1:8" ht="15.75" customHeight="1" thickTop="1">
      <c r="A182" s="64">
        <v>60</v>
      </c>
      <c r="B182" s="64"/>
      <c r="C182" s="64"/>
      <c r="D182" s="65" t="s">
        <v>172</v>
      </c>
      <c r="E182" s="66"/>
      <c r="F182" s="67"/>
      <c r="G182" s="68"/>
      <c r="H182" s="66"/>
    </row>
    <row r="183" spans="1:8" ht="14.25" customHeight="1">
      <c r="A183" s="115"/>
      <c r="B183" s="115"/>
      <c r="C183" s="115"/>
      <c r="D183" s="115"/>
      <c r="E183" s="70"/>
      <c r="F183" s="71"/>
      <c r="G183" s="72"/>
      <c r="H183" s="70"/>
    </row>
    <row r="184" spans="1:8" ht="15" hidden="1">
      <c r="A184" s="69"/>
      <c r="B184" s="69"/>
      <c r="C184" s="69">
        <v>1332</v>
      </c>
      <c r="D184" s="69" t="s">
        <v>173</v>
      </c>
      <c r="E184" s="70"/>
      <c r="F184" s="71"/>
      <c r="G184" s="72"/>
      <c r="H184" s="70" t="e">
        <f>(#REF!/F184)*100</f>
        <v>#REF!</v>
      </c>
    </row>
    <row r="185" spans="1:8" ht="15">
      <c r="A185" s="69"/>
      <c r="B185" s="69"/>
      <c r="C185" s="69">
        <v>1333</v>
      </c>
      <c r="D185" s="69" t="s">
        <v>174</v>
      </c>
      <c r="E185" s="70">
        <v>500</v>
      </c>
      <c r="F185" s="71">
        <v>500</v>
      </c>
      <c r="G185" s="72">
        <v>477.6</v>
      </c>
      <c r="H185" s="70">
        <f aca="true" t="shared" si="4" ref="H185:H197">(G185/F185)*100</f>
        <v>95.52000000000001</v>
      </c>
    </row>
    <row r="186" spans="1:8" ht="15">
      <c r="A186" s="69"/>
      <c r="B186" s="69"/>
      <c r="C186" s="69">
        <v>1334</v>
      </c>
      <c r="D186" s="69" t="s">
        <v>175</v>
      </c>
      <c r="E186" s="70">
        <v>50</v>
      </c>
      <c r="F186" s="71">
        <v>50</v>
      </c>
      <c r="G186" s="72">
        <v>33.2</v>
      </c>
      <c r="H186" s="70">
        <f t="shared" si="4"/>
        <v>66.4</v>
      </c>
    </row>
    <row r="187" spans="1:8" ht="15">
      <c r="A187" s="69"/>
      <c r="B187" s="69"/>
      <c r="C187" s="69">
        <v>1335</v>
      </c>
      <c r="D187" s="69" t="s">
        <v>176</v>
      </c>
      <c r="E187" s="70">
        <v>6</v>
      </c>
      <c r="F187" s="71">
        <v>6</v>
      </c>
      <c r="G187" s="72">
        <v>13</v>
      </c>
      <c r="H187" s="70">
        <f t="shared" si="4"/>
        <v>216.66666666666666</v>
      </c>
    </row>
    <row r="188" spans="1:8" ht="15">
      <c r="A188" s="69"/>
      <c r="B188" s="69"/>
      <c r="C188" s="69">
        <v>1361</v>
      </c>
      <c r="D188" s="69" t="s">
        <v>37</v>
      </c>
      <c r="E188" s="70">
        <v>240</v>
      </c>
      <c r="F188" s="71">
        <v>240</v>
      </c>
      <c r="G188" s="72">
        <v>221.1</v>
      </c>
      <c r="H188" s="70">
        <f t="shared" si="4"/>
        <v>92.125</v>
      </c>
    </row>
    <row r="189" spans="1:8" ht="15" customHeight="1">
      <c r="A189" s="69">
        <v>29004</v>
      </c>
      <c r="B189" s="69"/>
      <c r="C189" s="69">
        <v>4116</v>
      </c>
      <c r="D189" s="69" t="s">
        <v>177</v>
      </c>
      <c r="E189" s="70">
        <v>0</v>
      </c>
      <c r="F189" s="71">
        <v>68.3</v>
      </c>
      <c r="G189" s="72">
        <v>68.3</v>
      </c>
      <c r="H189" s="70">
        <f t="shared" si="4"/>
        <v>100</v>
      </c>
    </row>
    <row r="190" spans="1:8" ht="15">
      <c r="A190" s="69">
        <v>29008</v>
      </c>
      <c r="B190" s="69"/>
      <c r="C190" s="69">
        <v>4116</v>
      </c>
      <c r="D190" s="69" t="s">
        <v>178</v>
      </c>
      <c r="E190" s="70">
        <v>0</v>
      </c>
      <c r="F190" s="71">
        <v>45.2</v>
      </c>
      <c r="G190" s="72">
        <v>70.2</v>
      </c>
      <c r="H190" s="70">
        <f t="shared" si="4"/>
        <v>155.30973451327432</v>
      </c>
    </row>
    <row r="191" spans="1:8" ht="15" hidden="1">
      <c r="A191" s="69">
        <v>29516</v>
      </c>
      <c r="B191" s="69"/>
      <c r="C191" s="69">
        <v>4216</v>
      </c>
      <c r="D191" s="69" t="s">
        <v>179</v>
      </c>
      <c r="E191" s="70"/>
      <c r="F191" s="71"/>
      <c r="G191" s="72"/>
      <c r="H191" s="70" t="e">
        <f t="shared" si="4"/>
        <v>#DIV/0!</v>
      </c>
    </row>
    <row r="192" spans="1:8" ht="15">
      <c r="A192" s="74"/>
      <c r="B192" s="74"/>
      <c r="C192" s="74">
        <v>4122</v>
      </c>
      <c r="D192" s="74" t="s">
        <v>180</v>
      </c>
      <c r="E192" s="75">
        <v>0</v>
      </c>
      <c r="F192" s="76">
        <v>0</v>
      </c>
      <c r="G192" s="77">
        <v>20</v>
      </c>
      <c r="H192" s="70" t="e">
        <f t="shared" si="4"/>
        <v>#DIV/0!</v>
      </c>
    </row>
    <row r="193" spans="1:8" ht="15">
      <c r="A193" s="74"/>
      <c r="B193" s="74">
        <v>1014</v>
      </c>
      <c r="C193" s="74">
        <v>2132</v>
      </c>
      <c r="D193" s="74" t="s">
        <v>181</v>
      </c>
      <c r="E193" s="75">
        <v>24</v>
      </c>
      <c r="F193" s="76">
        <v>24</v>
      </c>
      <c r="G193" s="77">
        <v>16.5</v>
      </c>
      <c r="H193" s="70">
        <f t="shared" si="4"/>
        <v>68.75</v>
      </c>
    </row>
    <row r="194" spans="1:8" ht="15">
      <c r="A194" s="74"/>
      <c r="B194" s="74">
        <v>2119</v>
      </c>
      <c r="C194" s="74">
        <v>2343</v>
      </c>
      <c r="D194" s="74" t="s">
        <v>182</v>
      </c>
      <c r="E194" s="75">
        <v>12000</v>
      </c>
      <c r="F194" s="76">
        <v>12000</v>
      </c>
      <c r="G194" s="77">
        <v>7394.2</v>
      </c>
      <c r="H194" s="70">
        <f t="shared" si="4"/>
        <v>61.61833333333333</v>
      </c>
    </row>
    <row r="195" spans="1:8" ht="15">
      <c r="A195" s="74"/>
      <c r="B195" s="74">
        <v>3749</v>
      </c>
      <c r="C195" s="74">
        <v>2321</v>
      </c>
      <c r="D195" s="74" t="s">
        <v>183</v>
      </c>
      <c r="E195" s="75">
        <v>5</v>
      </c>
      <c r="F195" s="76">
        <v>5</v>
      </c>
      <c r="G195" s="77">
        <v>0</v>
      </c>
      <c r="H195" s="70">
        <f t="shared" si="4"/>
        <v>0</v>
      </c>
    </row>
    <row r="196" spans="1:8" ht="15">
      <c r="A196" s="69"/>
      <c r="B196" s="69">
        <v>6171</v>
      </c>
      <c r="C196" s="69">
        <v>2212</v>
      </c>
      <c r="D196" s="69" t="s">
        <v>145</v>
      </c>
      <c r="E196" s="70">
        <v>60</v>
      </c>
      <c r="F196" s="71">
        <v>60</v>
      </c>
      <c r="G196" s="72">
        <v>110.6</v>
      </c>
      <c r="H196" s="70">
        <f t="shared" si="4"/>
        <v>184.33333333333331</v>
      </c>
    </row>
    <row r="197" spans="1:8" ht="15">
      <c r="A197" s="69"/>
      <c r="B197" s="69">
        <v>6171</v>
      </c>
      <c r="C197" s="69">
        <v>2324</v>
      </c>
      <c r="D197" s="69" t="s">
        <v>184</v>
      </c>
      <c r="E197" s="70">
        <v>5</v>
      </c>
      <c r="F197" s="71">
        <v>5</v>
      </c>
      <c r="G197" s="72">
        <v>6</v>
      </c>
      <c r="H197" s="70">
        <f t="shared" si="4"/>
        <v>120</v>
      </c>
    </row>
    <row r="198" spans="1:8" ht="15" hidden="1">
      <c r="A198" s="69"/>
      <c r="B198" s="69">
        <v>6171</v>
      </c>
      <c r="C198" s="69">
        <v>2329</v>
      </c>
      <c r="D198" s="69" t="s">
        <v>70</v>
      </c>
      <c r="E198" s="70"/>
      <c r="F198" s="71"/>
      <c r="G198" s="72"/>
      <c r="H198" s="70"/>
    </row>
    <row r="199" spans="1:8" ht="15" customHeight="1" thickBot="1">
      <c r="A199" s="125"/>
      <c r="B199" s="125"/>
      <c r="C199" s="125"/>
      <c r="D199" s="125"/>
      <c r="E199" s="126"/>
      <c r="F199" s="127"/>
      <c r="G199" s="128"/>
      <c r="H199" s="126"/>
    </row>
    <row r="200" spans="1:8" s="89" customFormat="1" ht="21.75" customHeight="1" thickBot="1" thickTop="1">
      <c r="A200" s="130"/>
      <c r="B200" s="130"/>
      <c r="C200" s="130"/>
      <c r="D200" s="131" t="s">
        <v>185</v>
      </c>
      <c r="E200" s="132">
        <f>SUM(E183:E199)</f>
        <v>12890</v>
      </c>
      <c r="F200" s="133">
        <f>SUM(F183:F199)</f>
        <v>13003.5</v>
      </c>
      <c r="G200" s="134">
        <f>SUM(G183:G199)</f>
        <v>8430.7</v>
      </c>
      <c r="H200" s="86">
        <f>(G200/F200)*100</f>
        <v>64.83408313146461</v>
      </c>
    </row>
    <row r="201" spans="1:8" ht="14.25" customHeight="1">
      <c r="A201" s="109"/>
      <c r="B201" s="109"/>
      <c r="C201" s="109"/>
      <c r="D201" s="52"/>
      <c r="E201" s="110"/>
      <c r="F201" s="110"/>
      <c r="G201" s="110"/>
      <c r="H201" s="110"/>
    </row>
    <row r="202" spans="1:8" ht="14.25" customHeight="1" hidden="1">
      <c r="A202" s="109"/>
      <c r="B202" s="109"/>
      <c r="C202" s="109"/>
      <c r="D202" s="52"/>
      <c r="E202" s="110"/>
      <c r="F202" s="110"/>
      <c r="G202" s="110"/>
      <c r="H202" s="110"/>
    </row>
    <row r="203" spans="1:8" ht="14.25" customHeight="1" hidden="1">
      <c r="A203" s="109"/>
      <c r="B203" s="109"/>
      <c r="C203" s="109"/>
      <c r="D203" s="52"/>
      <c r="E203" s="110"/>
      <c r="F203" s="110"/>
      <c r="G203" s="110"/>
      <c r="H203" s="110"/>
    </row>
    <row r="204" spans="1:8" ht="14.25" customHeight="1" hidden="1">
      <c r="A204" s="109"/>
      <c r="B204" s="109"/>
      <c r="C204" s="109"/>
      <c r="D204" s="52"/>
      <c r="E204" s="110"/>
      <c r="F204" s="110"/>
      <c r="G204" s="110"/>
      <c r="H204" s="110"/>
    </row>
    <row r="205" spans="1:8" ht="15" customHeight="1">
      <c r="A205" s="109"/>
      <c r="B205" s="109"/>
      <c r="C205" s="109"/>
      <c r="D205" s="52"/>
      <c r="E205" s="110"/>
      <c r="F205" s="110"/>
      <c r="G205" s="110"/>
      <c r="H205" s="110"/>
    </row>
    <row r="206" spans="1:8" ht="15" customHeight="1" thickBot="1">
      <c r="A206" s="109"/>
      <c r="B206" s="109"/>
      <c r="C206" s="109"/>
      <c r="D206" s="52"/>
      <c r="E206" s="110"/>
      <c r="F206" s="110"/>
      <c r="G206" s="110"/>
      <c r="H206" s="110"/>
    </row>
    <row r="207" spans="1:8" ht="15.75">
      <c r="A207" s="57" t="s">
        <v>25</v>
      </c>
      <c r="B207" s="57" t="s">
        <v>26</v>
      </c>
      <c r="C207" s="57" t="s">
        <v>27</v>
      </c>
      <c r="D207" s="58" t="s">
        <v>28</v>
      </c>
      <c r="E207" s="59" t="s">
        <v>29</v>
      </c>
      <c r="F207" s="59" t="s">
        <v>29</v>
      </c>
      <c r="G207" s="59" t="s">
        <v>8</v>
      </c>
      <c r="H207" s="59" t="s">
        <v>30</v>
      </c>
    </row>
    <row r="208" spans="1:8" ht="15.75" customHeight="1" thickBot="1">
      <c r="A208" s="60"/>
      <c r="B208" s="60"/>
      <c r="C208" s="60"/>
      <c r="D208" s="61"/>
      <c r="E208" s="62" t="s">
        <v>31</v>
      </c>
      <c r="F208" s="62" t="s">
        <v>32</v>
      </c>
      <c r="G208" s="63" t="s">
        <v>33</v>
      </c>
      <c r="H208" s="62" t="s">
        <v>34</v>
      </c>
    </row>
    <row r="209" spans="1:8" ht="15.75" customHeight="1" thickTop="1">
      <c r="A209" s="64">
        <v>80</v>
      </c>
      <c r="B209" s="64"/>
      <c r="C209" s="64"/>
      <c r="D209" s="65" t="s">
        <v>186</v>
      </c>
      <c r="E209" s="66"/>
      <c r="F209" s="67"/>
      <c r="G209" s="68"/>
      <c r="H209" s="66"/>
    </row>
    <row r="210" spans="1:8" ht="15">
      <c r="A210" s="69"/>
      <c r="B210" s="69"/>
      <c r="C210" s="69"/>
      <c r="D210" s="69"/>
      <c r="E210" s="70"/>
      <c r="F210" s="71"/>
      <c r="G210" s="72"/>
      <c r="H210" s="70"/>
    </row>
    <row r="211" spans="1:8" ht="15">
      <c r="A211" s="69"/>
      <c r="B211" s="69"/>
      <c r="C211" s="69">
        <v>1353</v>
      </c>
      <c r="D211" s="69" t="s">
        <v>187</v>
      </c>
      <c r="E211" s="70">
        <v>750</v>
      </c>
      <c r="F211" s="71">
        <v>750</v>
      </c>
      <c r="G211" s="72">
        <v>542</v>
      </c>
      <c r="H211" s="70">
        <f aca="true" t="shared" si="5" ref="H211:H221">(G211/F211)*100</f>
        <v>72.26666666666667</v>
      </c>
    </row>
    <row r="212" spans="1:8" ht="15">
      <c r="A212" s="69"/>
      <c r="B212" s="69"/>
      <c r="C212" s="69">
        <v>1359</v>
      </c>
      <c r="D212" s="69" t="s">
        <v>188</v>
      </c>
      <c r="E212" s="70">
        <v>0</v>
      </c>
      <c r="F212" s="71">
        <v>0</v>
      </c>
      <c r="G212" s="72">
        <v>-136</v>
      </c>
      <c r="H212" s="70" t="e">
        <f t="shared" si="5"/>
        <v>#DIV/0!</v>
      </c>
    </row>
    <row r="213" spans="1:8" ht="15">
      <c r="A213" s="69"/>
      <c r="B213" s="69"/>
      <c r="C213" s="69">
        <v>1361</v>
      </c>
      <c r="D213" s="69" t="s">
        <v>37</v>
      </c>
      <c r="E213" s="70">
        <v>7000</v>
      </c>
      <c r="F213" s="71">
        <v>7000</v>
      </c>
      <c r="G213" s="72">
        <v>5206.1</v>
      </c>
      <c r="H213" s="70">
        <f t="shared" si="5"/>
        <v>74.37285714285716</v>
      </c>
    </row>
    <row r="214" spans="1:8" ht="15">
      <c r="A214" s="69"/>
      <c r="B214" s="69"/>
      <c r="C214" s="69">
        <v>4121</v>
      </c>
      <c r="D214" s="69" t="s">
        <v>189</v>
      </c>
      <c r="E214" s="75">
        <v>250</v>
      </c>
      <c r="F214" s="76">
        <v>250</v>
      </c>
      <c r="G214" s="77">
        <v>206</v>
      </c>
      <c r="H214" s="70">
        <f t="shared" si="5"/>
        <v>82.39999999999999</v>
      </c>
    </row>
    <row r="215" spans="1:8" ht="15" hidden="1">
      <c r="A215" s="69">
        <v>222</v>
      </c>
      <c r="B215" s="69"/>
      <c r="C215" s="69">
        <v>4122</v>
      </c>
      <c r="D215" s="69" t="s">
        <v>190</v>
      </c>
      <c r="E215" s="75"/>
      <c r="F215" s="76"/>
      <c r="G215" s="77"/>
      <c r="H215" s="70" t="e">
        <f t="shared" si="5"/>
        <v>#DIV/0!</v>
      </c>
    </row>
    <row r="216" spans="1:8" ht="15" hidden="1">
      <c r="A216" s="69"/>
      <c r="B216" s="69">
        <v>2169</v>
      </c>
      <c r="C216" s="69">
        <v>2212</v>
      </c>
      <c r="D216" s="69" t="s">
        <v>191</v>
      </c>
      <c r="E216" s="75"/>
      <c r="F216" s="76"/>
      <c r="G216" s="77"/>
      <c r="H216" s="70" t="e">
        <f t="shared" si="5"/>
        <v>#DIV/0!</v>
      </c>
    </row>
    <row r="217" spans="1:8" ht="15">
      <c r="A217" s="69"/>
      <c r="B217" s="69">
        <v>2219</v>
      </c>
      <c r="C217" s="69">
        <v>2324</v>
      </c>
      <c r="D217" s="69" t="s">
        <v>192</v>
      </c>
      <c r="E217" s="70">
        <v>0</v>
      </c>
      <c r="F217" s="71">
        <v>0</v>
      </c>
      <c r="G217" s="72">
        <v>11</v>
      </c>
      <c r="H217" s="70" t="e">
        <f t="shared" si="5"/>
        <v>#DIV/0!</v>
      </c>
    </row>
    <row r="218" spans="1:8" ht="15">
      <c r="A218" s="69"/>
      <c r="B218" s="69">
        <v>2219</v>
      </c>
      <c r="C218" s="69">
        <v>2329</v>
      </c>
      <c r="D218" s="69" t="s">
        <v>193</v>
      </c>
      <c r="E218" s="70">
        <v>4800</v>
      </c>
      <c r="F218" s="71">
        <v>4800</v>
      </c>
      <c r="G218" s="72">
        <v>3356.9</v>
      </c>
      <c r="H218" s="70">
        <f t="shared" si="5"/>
        <v>69.93541666666667</v>
      </c>
    </row>
    <row r="219" spans="1:8" ht="15">
      <c r="A219" s="69"/>
      <c r="B219" s="69">
        <v>2299</v>
      </c>
      <c r="C219" s="69">
        <v>2212</v>
      </c>
      <c r="D219" s="69" t="s">
        <v>194</v>
      </c>
      <c r="E219" s="70">
        <v>0</v>
      </c>
      <c r="F219" s="71">
        <v>2200</v>
      </c>
      <c r="G219" s="72">
        <v>3281</v>
      </c>
      <c r="H219" s="70">
        <f t="shared" si="5"/>
        <v>149.13636363636365</v>
      </c>
    </row>
    <row r="220" spans="1:8" ht="15">
      <c r="A220" s="69"/>
      <c r="B220" s="69">
        <v>6171</v>
      </c>
      <c r="C220" s="69">
        <v>2212</v>
      </c>
      <c r="D220" s="69" t="s">
        <v>195</v>
      </c>
      <c r="E220" s="70">
        <v>2200</v>
      </c>
      <c r="F220" s="71">
        <v>0</v>
      </c>
      <c r="G220" s="72">
        <v>0</v>
      </c>
      <c r="H220" s="70" t="e">
        <f t="shared" si="5"/>
        <v>#DIV/0!</v>
      </c>
    </row>
    <row r="221" spans="1:8" ht="15">
      <c r="A221" s="74"/>
      <c r="B221" s="74">
        <v>6171</v>
      </c>
      <c r="C221" s="74">
        <v>2324</v>
      </c>
      <c r="D221" s="74" t="s">
        <v>192</v>
      </c>
      <c r="E221" s="75">
        <v>200</v>
      </c>
      <c r="F221" s="76">
        <v>200</v>
      </c>
      <c r="G221" s="77">
        <v>347.9</v>
      </c>
      <c r="H221" s="70">
        <f t="shared" si="5"/>
        <v>173.95</v>
      </c>
    </row>
    <row r="222" spans="1:8" ht="15" hidden="1">
      <c r="A222" s="74"/>
      <c r="B222" s="74">
        <v>6171</v>
      </c>
      <c r="C222" s="74">
        <v>2329</v>
      </c>
      <c r="D222" s="74" t="s">
        <v>196</v>
      </c>
      <c r="E222" s="78"/>
      <c r="F222" s="79"/>
      <c r="G222" s="77"/>
      <c r="H222" s="70" t="e">
        <f>(#REF!/F222)*100</f>
        <v>#REF!</v>
      </c>
    </row>
    <row r="223" spans="1:8" ht="15.75" thickBot="1">
      <c r="A223" s="125"/>
      <c r="B223" s="125"/>
      <c r="C223" s="125"/>
      <c r="D223" s="125"/>
      <c r="E223" s="126"/>
      <c r="F223" s="127"/>
      <c r="G223" s="128"/>
      <c r="H223" s="126"/>
    </row>
    <row r="224" spans="1:8" s="89" customFormat="1" ht="21.75" customHeight="1" thickBot="1" thickTop="1">
      <c r="A224" s="130"/>
      <c r="B224" s="130"/>
      <c r="C224" s="130"/>
      <c r="D224" s="131" t="s">
        <v>197</v>
      </c>
      <c r="E224" s="132">
        <f>SUM(E210:E223)</f>
        <v>15200</v>
      </c>
      <c r="F224" s="133">
        <f>SUM(F210:F223)</f>
        <v>15200</v>
      </c>
      <c r="G224" s="134">
        <f>SUM(G210:G223)</f>
        <v>12814.9</v>
      </c>
      <c r="H224" s="86">
        <f>(G224/F224)*100</f>
        <v>84.30855263157895</v>
      </c>
    </row>
    <row r="225" spans="1:8" ht="15" customHeight="1">
      <c r="A225" s="109"/>
      <c r="B225" s="109"/>
      <c r="C225" s="109"/>
      <c r="D225" s="52"/>
      <c r="E225" s="110"/>
      <c r="F225" s="110"/>
      <c r="G225" s="110"/>
      <c r="H225" s="110"/>
    </row>
    <row r="226" spans="1:8" ht="15" customHeight="1" hidden="1">
      <c r="A226" s="109"/>
      <c r="B226" s="109"/>
      <c r="C226" s="109"/>
      <c r="D226" s="52"/>
      <c r="E226" s="110"/>
      <c r="F226" s="110"/>
      <c r="G226" s="110"/>
      <c r="H226" s="110"/>
    </row>
    <row r="227" spans="1:8" ht="15" customHeight="1">
      <c r="A227" s="109"/>
      <c r="B227" s="109"/>
      <c r="C227" s="109"/>
      <c r="D227" s="52"/>
      <c r="E227" s="110"/>
      <c r="F227" s="110"/>
      <c r="G227" s="110"/>
      <c r="H227" s="110"/>
    </row>
    <row r="228" spans="1:8" ht="15" customHeight="1" thickBot="1">
      <c r="A228" s="109"/>
      <c r="B228" s="109"/>
      <c r="C228" s="109"/>
      <c r="D228" s="52"/>
      <c r="E228" s="110"/>
      <c r="F228" s="110"/>
      <c r="G228" s="110"/>
      <c r="H228" s="110"/>
    </row>
    <row r="229" spans="1:8" ht="15.75">
      <c r="A229" s="57" t="s">
        <v>25</v>
      </c>
      <c r="B229" s="57" t="s">
        <v>26</v>
      </c>
      <c r="C229" s="57" t="s">
        <v>27</v>
      </c>
      <c r="D229" s="58" t="s">
        <v>28</v>
      </c>
      <c r="E229" s="59" t="s">
        <v>29</v>
      </c>
      <c r="F229" s="59" t="s">
        <v>29</v>
      </c>
      <c r="G229" s="59" t="s">
        <v>8</v>
      </c>
      <c r="H229" s="59" t="s">
        <v>30</v>
      </c>
    </row>
    <row r="230" spans="1:8" ht="15.75" customHeight="1" thickBot="1">
      <c r="A230" s="60"/>
      <c r="B230" s="60"/>
      <c r="C230" s="60"/>
      <c r="D230" s="61"/>
      <c r="E230" s="62" t="s">
        <v>31</v>
      </c>
      <c r="F230" s="62" t="s">
        <v>32</v>
      </c>
      <c r="G230" s="63" t="s">
        <v>33</v>
      </c>
      <c r="H230" s="62" t="s">
        <v>34</v>
      </c>
    </row>
    <row r="231" spans="1:8" ht="16.5" customHeight="1" thickTop="1">
      <c r="A231" s="64">
        <v>90</v>
      </c>
      <c r="B231" s="64"/>
      <c r="C231" s="64"/>
      <c r="D231" s="65" t="s">
        <v>198</v>
      </c>
      <c r="E231" s="66"/>
      <c r="F231" s="67"/>
      <c r="G231" s="68"/>
      <c r="H231" s="66"/>
    </row>
    <row r="232" spans="1:8" ht="15.75">
      <c r="A232" s="64"/>
      <c r="B232" s="64"/>
      <c r="C232" s="64"/>
      <c r="D232" s="65"/>
      <c r="E232" s="66"/>
      <c r="F232" s="67"/>
      <c r="G232" s="68"/>
      <c r="H232" s="66"/>
    </row>
    <row r="233" spans="1:8" ht="15">
      <c r="A233" s="80"/>
      <c r="B233" s="80"/>
      <c r="C233" s="80">
        <v>4121</v>
      </c>
      <c r="D233" s="80" t="s">
        <v>199</v>
      </c>
      <c r="E233" s="136">
        <v>300</v>
      </c>
      <c r="F233" s="137">
        <v>300</v>
      </c>
      <c r="G233" s="138">
        <v>300</v>
      </c>
      <c r="H233" s="70">
        <f aca="true" t="shared" si="6" ref="H233:H240">(G233/F233)*100</f>
        <v>100</v>
      </c>
    </row>
    <row r="234" spans="1:8" ht="15">
      <c r="A234" s="69"/>
      <c r="B234" s="69">
        <v>5311</v>
      </c>
      <c r="C234" s="69">
        <v>2111</v>
      </c>
      <c r="D234" s="69" t="s">
        <v>65</v>
      </c>
      <c r="E234" s="139">
        <v>650</v>
      </c>
      <c r="F234" s="140">
        <v>650</v>
      </c>
      <c r="G234" s="141">
        <v>353</v>
      </c>
      <c r="H234" s="70">
        <f t="shared" si="6"/>
        <v>54.307692307692314</v>
      </c>
    </row>
    <row r="235" spans="1:8" ht="15">
      <c r="A235" s="69"/>
      <c r="B235" s="69">
        <v>5311</v>
      </c>
      <c r="C235" s="69">
        <v>2212</v>
      </c>
      <c r="D235" s="69" t="s">
        <v>200</v>
      </c>
      <c r="E235" s="142">
        <v>1850</v>
      </c>
      <c r="F235" s="143">
        <v>1850</v>
      </c>
      <c r="G235" s="144">
        <v>596.4</v>
      </c>
      <c r="H235" s="70">
        <f t="shared" si="6"/>
        <v>32.23783783783784</v>
      </c>
    </row>
    <row r="236" spans="1:8" ht="15" hidden="1">
      <c r="A236" s="74"/>
      <c r="B236" s="74">
        <v>5311</v>
      </c>
      <c r="C236" s="74">
        <v>2310</v>
      </c>
      <c r="D236" s="74" t="s">
        <v>201</v>
      </c>
      <c r="E236" s="75"/>
      <c r="F236" s="76"/>
      <c r="G236" s="77"/>
      <c r="H236" s="70" t="e">
        <f t="shared" si="6"/>
        <v>#DIV/0!</v>
      </c>
    </row>
    <row r="237" spans="1:8" ht="15">
      <c r="A237" s="74"/>
      <c r="B237" s="74">
        <v>5311</v>
      </c>
      <c r="C237" s="74">
        <v>2322</v>
      </c>
      <c r="D237" s="74" t="s">
        <v>202</v>
      </c>
      <c r="E237" s="75">
        <v>0</v>
      </c>
      <c r="F237" s="76">
        <v>0</v>
      </c>
      <c r="G237" s="77">
        <v>0.7</v>
      </c>
      <c r="H237" s="70" t="e">
        <f t="shared" si="6"/>
        <v>#DIV/0!</v>
      </c>
    </row>
    <row r="238" spans="1:8" ht="15">
      <c r="A238" s="69"/>
      <c r="B238" s="69">
        <v>5311</v>
      </c>
      <c r="C238" s="69">
        <v>2324</v>
      </c>
      <c r="D238" s="69" t="s">
        <v>203</v>
      </c>
      <c r="E238" s="70">
        <v>0</v>
      </c>
      <c r="F238" s="71">
        <v>110</v>
      </c>
      <c r="G238" s="72">
        <v>120.9</v>
      </c>
      <c r="H238" s="70">
        <f t="shared" si="6"/>
        <v>109.9090909090909</v>
      </c>
    </row>
    <row r="239" spans="1:8" ht="15">
      <c r="A239" s="74"/>
      <c r="B239" s="74">
        <v>5311</v>
      </c>
      <c r="C239" s="74">
        <v>2329</v>
      </c>
      <c r="D239" s="74" t="s">
        <v>70</v>
      </c>
      <c r="E239" s="75">
        <v>0</v>
      </c>
      <c r="F239" s="76">
        <v>0</v>
      </c>
      <c r="G239" s="77">
        <v>0.5</v>
      </c>
      <c r="H239" s="70" t="e">
        <f t="shared" si="6"/>
        <v>#DIV/0!</v>
      </c>
    </row>
    <row r="240" spans="1:8" ht="15">
      <c r="A240" s="74"/>
      <c r="B240" s="74">
        <v>5311</v>
      </c>
      <c r="C240" s="74">
        <v>3113</v>
      </c>
      <c r="D240" s="74" t="s">
        <v>201</v>
      </c>
      <c r="E240" s="75">
        <v>0</v>
      </c>
      <c r="F240" s="76">
        <v>0</v>
      </c>
      <c r="G240" s="77">
        <v>20</v>
      </c>
      <c r="H240" s="70" t="e">
        <f t="shared" si="6"/>
        <v>#DIV/0!</v>
      </c>
    </row>
    <row r="241" spans="1:8" ht="15" hidden="1">
      <c r="A241" s="74"/>
      <c r="B241" s="74">
        <v>6409</v>
      </c>
      <c r="C241" s="74">
        <v>2328</v>
      </c>
      <c r="D241" s="74" t="s">
        <v>204</v>
      </c>
      <c r="E241" s="75">
        <v>0</v>
      </c>
      <c r="F241" s="76">
        <v>0</v>
      </c>
      <c r="G241" s="77"/>
      <c r="H241" s="70" t="e">
        <f>(#REF!/F241)*100</f>
        <v>#REF!</v>
      </c>
    </row>
    <row r="242" spans="1:8" ht="15.75" thickBot="1">
      <c r="A242" s="125"/>
      <c r="B242" s="125"/>
      <c r="C242" s="125"/>
      <c r="D242" s="125"/>
      <c r="E242" s="126"/>
      <c r="F242" s="127"/>
      <c r="G242" s="128"/>
      <c r="H242" s="126"/>
    </row>
    <row r="243" spans="1:8" s="89" customFormat="1" ht="21.75" customHeight="1" thickBot="1" thickTop="1">
      <c r="A243" s="130"/>
      <c r="B243" s="130"/>
      <c r="C243" s="130"/>
      <c r="D243" s="131" t="s">
        <v>205</v>
      </c>
      <c r="E243" s="132">
        <f>SUM(E233:E242)</f>
        <v>2800</v>
      </c>
      <c r="F243" s="133">
        <f>SUM(F233:F242)</f>
        <v>2910</v>
      </c>
      <c r="G243" s="134">
        <f>SUM(G233:G242)</f>
        <v>1391.5000000000002</v>
      </c>
      <c r="H243" s="86">
        <f>(G243/F243)*100</f>
        <v>47.817869415807564</v>
      </c>
    </row>
    <row r="244" spans="1:8" ht="15" customHeight="1">
      <c r="A244" s="109"/>
      <c r="B244" s="109"/>
      <c r="C244" s="109"/>
      <c r="D244" s="52"/>
      <c r="E244" s="110"/>
      <c r="F244" s="110"/>
      <c r="G244" s="110"/>
      <c r="H244" s="110"/>
    </row>
    <row r="245" spans="1:8" ht="15" customHeight="1" hidden="1">
      <c r="A245" s="109"/>
      <c r="B245" s="109"/>
      <c r="C245" s="109"/>
      <c r="D245" s="52"/>
      <c r="E245" s="110"/>
      <c r="F245" s="110"/>
      <c r="G245" s="110"/>
      <c r="H245" s="110"/>
    </row>
    <row r="246" spans="1:8" ht="15" customHeight="1" hidden="1">
      <c r="A246" s="109"/>
      <c r="B246" s="109"/>
      <c r="C246" s="109"/>
      <c r="D246" s="52"/>
      <c r="E246" s="110"/>
      <c r="F246" s="110"/>
      <c r="G246" s="110"/>
      <c r="H246" s="110"/>
    </row>
    <row r="247" spans="1:8" ht="15" customHeight="1" hidden="1">
      <c r="A247" s="109"/>
      <c r="B247" s="109"/>
      <c r="C247" s="109"/>
      <c r="D247" s="52"/>
      <c r="E247" s="110"/>
      <c r="F247" s="110"/>
      <c r="G247" s="110"/>
      <c r="H247" s="110"/>
    </row>
    <row r="248" spans="1:8" ht="15" customHeight="1" hidden="1">
      <c r="A248" s="109"/>
      <c r="B248" s="109"/>
      <c r="C248" s="109"/>
      <c r="D248" s="52"/>
      <c r="E248" s="110"/>
      <c r="F248" s="110"/>
      <c r="G248" s="110"/>
      <c r="H248" s="110"/>
    </row>
    <row r="249" spans="1:8" ht="15" customHeight="1" hidden="1">
      <c r="A249" s="109"/>
      <c r="B249" s="109"/>
      <c r="C249" s="109"/>
      <c r="D249" s="52"/>
      <c r="E249" s="110"/>
      <c r="F249" s="110"/>
      <c r="G249" s="110"/>
      <c r="H249" s="110"/>
    </row>
    <row r="250" spans="1:8" ht="15" customHeight="1" hidden="1">
      <c r="A250" s="109"/>
      <c r="B250" s="109"/>
      <c r="C250" s="109"/>
      <c r="D250" s="52"/>
      <c r="E250" s="110"/>
      <c r="F250" s="110"/>
      <c r="G250" s="110"/>
      <c r="H250" s="110"/>
    </row>
    <row r="251" spans="1:8" ht="15" customHeight="1">
      <c r="A251" s="109"/>
      <c r="B251" s="109"/>
      <c r="C251" s="109"/>
      <c r="D251" s="52"/>
      <c r="E251" s="110"/>
      <c r="F251" s="110"/>
      <c r="G251" s="48"/>
      <c r="H251" s="48"/>
    </row>
    <row r="252" spans="1:8" ht="15" customHeight="1" thickBot="1">
      <c r="A252" s="109"/>
      <c r="B252" s="109"/>
      <c r="C252" s="109"/>
      <c r="D252" s="52"/>
      <c r="E252" s="110"/>
      <c r="F252" s="110"/>
      <c r="G252" s="110"/>
      <c r="H252" s="110"/>
    </row>
    <row r="253" spans="1:8" ht="15.75">
      <c r="A253" s="57" t="s">
        <v>25</v>
      </c>
      <c r="B253" s="57" t="s">
        <v>26</v>
      </c>
      <c r="C253" s="57" t="s">
        <v>27</v>
      </c>
      <c r="D253" s="58" t="s">
        <v>28</v>
      </c>
      <c r="E253" s="59" t="s">
        <v>29</v>
      </c>
      <c r="F253" s="59" t="s">
        <v>29</v>
      </c>
      <c r="G253" s="59" t="s">
        <v>8</v>
      </c>
      <c r="H253" s="59" t="s">
        <v>30</v>
      </c>
    </row>
    <row r="254" spans="1:8" ht="15.75" customHeight="1" thickBot="1">
      <c r="A254" s="60"/>
      <c r="B254" s="60"/>
      <c r="C254" s="60"/>
      <c r="D254" s="61"/>
      <c r="E254" s="62" t="s">
        <v>31</v>
      </c>
      <c r="F254" s="62" t="s">
        <v>32</v>
      </c>
      <c r="G254" s="63" t="s">
        <v>33</v>
      </c>
      <c r="H254" s="62" t="s">
        <v>34</v>
      </c>
    </row>
    <row r="255" spans="1:8" ht="15.75" customHeight="1" thickTop="1">
      <c r="A255" s="64">
        <v>100</v>
      </c>
      <c r="B255" s="64"/>
      <c r="C255" s="64"/>
      <c r="D255" s="145" t="s">
        <v>206</v>
      </c>
      <c r="E255" s="66"/>
      <c r="F255" s="67"/>
      <c r="G255" s="68"/>
      <c r="H255" s="66"/>
    </row>
    <row r="256" spans="1:8" ht="15">
      <c r="A256" s="69"/>
      <c r="B256" s="69"/>
      <c r="C256" s="69"/>
      <c r="D256" s="69"/>
      <c r="E256" s="105"/>
      <c r="F256" s="71"/>
      <c r="G256" s="72"/>
      <c r="H256" s="105"/>
    </row>
    <row r="257" spans="1:8" ht="15">
      <c r="A257" s="69"/>
      <c r="B257" s="69"/>
      <c r="C257" s="69">
        <v>1361</v>
      </c>
      <c r="D257" s="69" t="s">
        <v>37</v>
      </c>
      <c r="E257" s="105">
        <v>1700</v>
      </c>
      <c r="F257" s="71">
        <v>1700</v>
      </c>
      <c r="G257" s="72">
        <v>1538.5</v>
      </c>
      <c r="H257" s="70">
        <f>(G257/F257)*100</f>
        <v>90.5</v>
      </c>
    </row>
    <row r="258" spans="1:8" ht="15.75" hidden="1">
      <c r="A258" s="115"/>
      <c r="B258" s="115"/>
      <c r="C258" s="69">
        <v>4216</v>
      </c>
      <c r="D258" s="69" t="s">
        <v>207</v>
      </c>
      <c r="E258" s="70"/>
      <c r="F258" s="71"/>
      <c r="G258" s="72"/>
      <c r="H258" s="70" t="e">
        <f>(G258/F258)*100</f>
        <v>#DIV/0!</v>
      </c>
    </row>
    <row r="259" spans="1:8" ht="15">
      <c r="A259" s="69"/>
      <c r="B259" s="69">
        <v>2169</v>
      </c>
      <c r="C259" s="69">
        <v>2212</v>
      </c>
      <c r="D259" s="69" t="s">
        <v>200</v>
      </c>
      <c r="E259" s="105">
        <v>500</v>
      </c>
      <c r="F259" s="71">
        <v>500</v>
      </c>
      <c r="G259" s="72">
        <v>320</v>
      </c>
      <c r="H259" s="70">
        <f>(G259/F259)*100</f>
        <v>64</v>
      </c>
    </row>
    <row r="260" spans="1:8" ht="15" hidden="1">
      <c r="A260" s="74"/>
      <c r="B260" s="74">
        <v>3635</v>
      </c>
      <c r="C260" s="74">
        <v>3122</v>
      </c>
      <c r="D260" s="69" t="s">
        <v>208</v>
      </c>
      <c r="E260" s="105">
        <v>0</v>
      </c>
      <c r="F260" s="71">
        <v>0</v>
      </c>
      <c r="G260" s="72"/>
      <c r="H260" s="70" t="e">
        <f>(G260/F260)*100</f>
        <v>#DIV/0!</v>
      </c>
    </row>
    <row r="261" spans="1:8" ht="15">
      <c r="A261" s="74"/>
      <c r="B261" s="74">
        <v>6171</v>
      </c>
      <c r="C261" s="74">
        <v>2324</v>
      </c>
      <c r="D261" s="69" t="s">
        <v>209</v>
      </c>
      <c r="E261" s="146">
        <v>40</v>
      </c>
      <c r="F261" s="82">
        <v>40</v>
      </c>
      <c r="G261" s="83">
        <v>56.5</v>
      </c>
      <c r="H261" s="70">
        <f>(G261/F261)*100</f>
        <v>141.25</v>
      </c>
    </row>
    <row r="262" spans="1:8" ht="15" customHeight="1" thickBot="1">
      <c r="A262" s="125"/>
      <c r="B262" s="125"/>
      <c r="C262" s="125"/>
      <c r="D262" s="125"/>
      <c r="E262" s="126"/>
      <c r="F262" s="127"/>
      <c r="G262" s="128"/>
      <c r="H262" s="126"/>
    </row>
    <row r="263" spans="1:8" s="89" customFormat="1" ht="21.75" customHeight="1" thickBot="1" thickTop="1">
      <c r="A263" s="130"/>
      <c r="B263" s="130"/>
      <c r="C263" s="130"/>
      <c r="D263" s="131" t="s">
        <v>210</v>
      </c>
      <c r="E263" s="132">
        <f>SUM(E255:E261)</f>
        <v>2240</v>
      </c>
      <c r="F263" s="133">
        <f>SUM(F255:F261)</f>
        <v>2240</v>
      </c>
      <c r="G263" s="134">
        <f>SUM(G255:G261)</f>
        <v>1915</v>
      </c>
      <c r="H263" s="86">
        <f>(G263/F263)*100</f>
        <v>85.49107142857143</v>
      </c>
    </row>
    <row r="264" spans="1:8" ht="15" customHeight="1">
      <c r="A264" s="109"/>
      <c r="B264" s="109"/>
      <c r="C264" s="109"/>
      <c r="D264" s="52"/>
      <c r="E264" s="110"/>
      <c r="F264" s="110"/>
      <c r="G264" s="110"/>
      <c r="H264" s="110"/>
    </row>
    <row r="265" spans="1:8" ht="15" customHeight="1">
      <c r="A265" s="109"/>
      <c r="B265" s="109"/>
      <c r="C265" s="109"/>
      <c r="D265" s="52"/>
      <c r="E265" s="110"/>
      <c r="F265" s="110"/>
      <c r="G265" s="110"/>
      <c r="H265" s="110"/>
    </row>
    <row r="266" spans="1:8" ht="15" customHeight="1" hidden="1">
      <c r="A266" s="109"/>
      <c r="B266" s="109"/>
      <c r="C266" s="109"/>
      <c r="D266" s="52"/>
      <c r="E266" s="110"/>
      <c r="F266" s="110"/>
      <c r="G266" s="110"/>
      <c r="H266" s="110"/>
    </row>
    <row r="267" spans="1:8" ht="15" customHeight="1" thickBot="1">
      <c r="A267" s="109"/>
      <c r="B267" s="109"/>
      <c r="C267" s="109"/>
      <c r="D267" s="52"/>
      <c r="E267" s="110"/>
      <c r="F267" s="110"/>
      <c r="G267" s="110"/>
      <c r="H267" s="110"/>
    </row>
    <row r="268" spans="1:8" ht="15.75">
      <c r="A268" s="57" t="s">
        <v>25</v>
      </c>
      <c r="B268" s="57" t="s">
        <v>26</v>
      </c>
      <c r="C268" s="57" t="s">
        <v>27</v>
      </c>
      <c r="D268" s="58" t="s">
        <v>28</v>
      </c>
      <c r="E268" s="59" t="s">
        <v>29</v>
      </c>
      <c r="F268" s="59" t="s">
        <v>29</v>
      </c>
      <c r="G268" s="59" t="s">
        <v>8</v>
      </c>
      <c r="H268" s="59" t="s">
        <v>30</v>
      </c>
    </row>
    <row r="269" spans="1:8" ht="15.75" customHeight="1" thickBot="1">
      <c r="A269" s="60"/>
      <c r="B269" s="60"/>
      <c r="C269" s="60"/>
      <c r="D269" s="61"/>
      <c r="E269" s="62" t="s">
        <v>31</v>
      </c>
      <c r="F269" s="62" t="s">
        <v>32</v>
      </c>
      <c r="G269" s="63" t="s">
        <v>33</v>
      </c>
      <c r="H269" s="62" t="s">
        <v>34</v>
      </c>
    </row>
    <row r="270" spans="1:8" ht="15.75" customHeight="1" thickTop="1">
      <c r="A270" s="147">
        <v>110</v>
      </c>
      <c r="B270" s="115"/>
      <c r="C270" s="115"/>
      <c r="D270" s="115" t="s">
        <v>211</v>
      </c>
      <c r="E270" s="66"/>
      <c r="F270" s="67"/>
      <c r="G270" s="68"/>
      <c r="H270" s="66"/>
    </row>
    <row r="271" spans="1:8" ht="15.75">
      <c r="A271" s="147"/>
      <c r="B271" s="115"/>
      <c r="C271" s="115"/>
      <c r="D271" s="115"/>
      <c r="E271" s="66"/>
      <c r="F271" s="67"/>
      <c r="G271" s="68"/>
      <c r="H271" s="66"/>
    </row>
    <row r="272" spans="1:8" ht="15">
      <c r="A272" s="69"/>
      <c r="B272" s="69"/>
      <c r="C272" s="69">
        <v>1111</v>
      </c>
      <c r="D272" s="69" t="s">
        <v>212</v>
      </c>
      <c r="E272" s="123">
        <v>48000</v>
      </c>
      <c r="F272" s="121">
        <v>48000</v>
      </c>
      <c r="G272" s="122">
        <v>35473.6</v>
      </c>
      <c r="H272" s="70">
        <f aca="true" t="shared" si="7" ref="H272:H296">(G272/F272)*100</f>
        <v>73.90333333333334</v>
      </c>
    </row>
    <row r="273" spans="1:8" ht="15">
      <c r="A273" s="69"/>
      <c r="B273" s="69"/>
      <c r="C273" s="69">
        <v>1112</v>
      </c>
      <c r="D273" s="69" t="s">
        <v>213</v>
      </c>
      <c r="E273" s="116">
        <v>6000</v>
      </c>
      <c r="F273" s="117">
        <v>6000</v>
      </c>
      <c r="G273" s="118">
        <v>2789</v>
      </c>
      <c r="H273" s="70">
        <f t="shared" si="7"/>
        <v>46.483333333333334</v>
      </c>
    </row>
    <row r="274" spans="1:8" ht="15">
      <c r="A274" s="69"/>
      <c r="B274" s="69"/>
      <c r="C274" s="69">
        <v>1113</v>
      </c>
      <c r="D274" s="69" t="s">
        <v>214</v>
      </c>
      <c r="E274" s="116">
        <v>4700</v>
      </c>
      <c r="F274" s="117">
        <v>4700</v>
      </c>
      <c r="G274" s="118">
        <v>3629.3</v>
      </c>
      <c r="H274" s="70">
        <f t="shared" si="7"/>
        <v>77.21914893617021</v>
      </c>
    </row>
    <row r="275" spans="1:8" ht="15">
      <c r="A275" s="69"/>
      <c r="B275" s="69"/>
      <c r="C275" s="69">
        <v>1121</v>
      </c>
      <c r="D275" s="69" t="s">
        <v>215</v>
      </c>
      <c r="E275" s="116">
        <v>45000</v>
      </c>
      <c r="F275" s="117">
        <v>45000</v>
      </c>
      <c r="G275" s="122">
        <v>38330.2</v>
      </c>
      <c r="H275" s="70">
        <f t="shared" si="7"/>
        <v>85.17822222222222</v>
      </c>
    </row>
    <row r="276" spans="1:8" ht="15">
      <c r="A276" s="69"/>
      <c r="B276" s="69"/>
      <c r="C276" s="69">
        <v>1122</v>
      </c>
      <c r="D276" s="69" t="s">
        <v>216</v>
      </c>
      <c r="E276" s="123">
        <v>10000</v>
      </c>
      <c r="F276" s="121">
        <v>9425.2</v>
      </c>
      <c r="G276" s="122">
        <v>9425.1</v>
      </c>
      <c r="H276" s="70">
        <f t="shared" si="7"/>
        <v>99.99893901455673</v>
      </c>
    </row>
    <row r="277" spans="1:8" ht="15">
      <c r="A277" s="69"/>
      <c r="B277" s="69"/>
      <c r="C277" s="69">
        <v>1211</v>
      </c>
      <c r="D277" s="69" t="s">
        <v>217</v>
      </c>
      <c r="E277" s="123">
        <v>102000</v>
      </c>
      <c r="F277" s="121">
        <v>102000</v>
      </c>
      <c r="G277" s="122">
        <v>73280.1</v>
      </c>
      <c r="H277" s="70">
        <f t="shared" si="7"/>
        <v>71.84323529411766</v>
      </c>
    </row>
    <row r="278" spans="1:8" ht="15">
      <c r="A278" s="69"/>
      <c r="B278" s="69"/>
      <c r="C278" s="69">
        <v>1340</v>
      </c>
      <c r="D278" s="69" t="s">
        <v>218</v>
      </c>
      <c r="E278" s="123">
        <v>10300</v>
      </c>
      <c r="F278" s="121">
        <v>10300</v>
      </c>
      <c r="G278" s="148">
        <v>10001.1</v>
      </c>
      <c r="H278" s="70">
        <f t="shared" si="7"/>
        <v>97.0980582524272</v>
      </c>
    </row>
    <row r="279" spans="1:8" ht="15">
      <c r="A279" s="69"/>
      <c r="B279" s="69"/>
      <c r="C279" s="69">
        <v>1341</v>
      </c>
      <c r="D279" s="69" t="s">
        <v>219</v>
      </c>
      <c r="E279" s="149">
        <v>950</v>
      </c>
      <c r="F279" s="150">
        <v>950</v>
      </c>
      <c r="G279" s="148">
        <v>830</v>
      </c>
      <c r="H279" s="70">
        <f t="shared" si="7"/>
        <v>87.36842105263159</v>
      </c>
    </row>
    <row r="280" spans="1:8" ht="15" customHeight="1">
      <c r="A280" s="114"/>
      <c r="B280" s="115"/>
      <c r="C280" s="93">
        <v>1342</v>
      </c>
      <c r="D280" s="93" t="s">
        <v>220</v>
      </c>
      <c r="E280" s="119">
        <v>50</v>
      </c>
      <c r="F280" s="67">
        <v>50</v>
      </c>
      <c r="G280" s="68">
        <v>48.9</v>
      </c>
      <c r="H280" s="70">
        <f t="shared" si="7"/>
        <v>97.8</v>
      </c>
    </row>
    <row r="281" spans="1:8" ht="15">
      <c r="A281" s="151"/>
      <c r="B281" s="93"/>
      <c r="C281" s="93">
        <v>1343</v>
      </c>
      <c r="D281" s="93" t="s">
        <v>221</v>
      </c>
      <c r="E281" s="119">
        <v>1100</v>
      </c>
      <c r="F281" s="67">
        <v>1100</v>
      </c>
      <c r="G281" s="68">
        <v>894.9</v>
      </c>
      <c r="H281" s="70">
        <f t="shared" si="7"/>
        <v>81.35454545454546</v>
      </c>
    </row>
    <row r="282" spans="1:8" ht="15">
      <c r="A282" s="104"/>
      <c r="B282" s="69"/>
      <c r="C282" s="69">
        <v>1345</v>
      </c>
      <c r="D282" s="69" t="s">
        <v>222</v>
      </c>
      <c r="E282" s="152">
        <v>200</v>
      </c>
      <c r="F282" s="117">
        <v>200</v>
      </c>
      <c r="G282" s="118">
        <v>137.1</v>
      </c>
      <c r="H282" s="70">
        <f t="shared" si="7"/>
        <v>68.55</v>
      </c>
    </row>
    <row r="283" spans="1:8" ht="15">
      <c r="A283" s="69"/>
      <c r="B283" s="69"/>
      <c r="C283" s="69">
        <v>1347</v>
      </c>
      <c r="D283" s="69" t="s">
        <v>223</v>
      </c>
      <c r="E283" s="149">
        <v>0</v>
      </c>
      <c r="F283" s="150">
        <v>0</v>
      </c>
      <c r="G283" s="148">
        <v>697.8</v>
      </c>
      <c r="H283" s="70" t="e">
        <f t="shared" si="7"/>
        <v>#DIV/0!</v>
      </c>
    </row>
    <row r="284" spans="1:8" ht="15" hidden="1">
      <c r="A284" s="69"/>
      <c r="B284" s="69"/>
      <c r="C284" s="69">
        <v>1349</v>
      </c>
      <c r="D284" s="69" t="s">
        <v>224</v>
      </c>
      <c r="E284" s="123"/>
      <c r="F284" s="121"/>
      <c r="G284" s="122"/>
      <c r="H284" s="70" t="e">
        <f t="shared" si="7"/>
        <v>#DIV/0!</v>
      </c>
    </row>
    <row r="285" spans="1:8" ht="15">
      <c r="A285" s="69"/>
      <c r="B285" s="69"/>
      <c r="C285" s="69">
        <v>1351.5</v>
      </c>
      <c r="D285" s="69" t="s">
        <v>225</v>
      </c>
      <c r="E285" s="123">
        <v>18500</v>
      </c>
      <c r="F285" s="121">
        <v>18500</v>
      </c>
      <c r="G285" s="122">
        <f>14192.5+873.6</f>
        <v>15066.1</v>
      </c>
      <c r="H285" s="70">
        <f t="shared" si="7"/>
        <v>81.43837837837839</v>
      </c>
    </row>
    <row r="286" spans="1:8" ht="15">
      <c r="A286" s="69"/>
      <c r="B286" s="69"/>
      <c r="C286" s="69">
        <v>1361</v>
      </c>
      <c r="D286" s="69" t="s">
        <v>226</v>
      </c>
      <c r="E286" s="149">
        <v>0</v>
      </c>
      <c r="F286" s="150">
        <v>0</v>
      </c>
      <c r="G286" s="148">
        <v>0.1</v>
      </c>
      <c r="H286" s="70" t="e">
        <f t="shared" si="7"/>
        <v>#DIV/0!</v>
      </c>
    </row>
    <row r="287" spans="1:8" ht="15">
      <c r="A287" s="69"/>
      <c r="B287" s="69"/>
      <c r="C287" s="69">
        <v>1511</v>
      </c>
      <c r="D287" s="69" t="s">
        <v>227</v>
      </c>
      <c r="E287" s="70">
        <v>21500</v>
      </c>
      <c r="F287" s="71">
        <v>21500</v>
      </c>
      <c r="G287" s="72">
        <v>14292</v>
      </c>
      <c r="H287" s="70">
        <f t="shared" si="7"/>
        <v>66.47441860465116</v>
      </c>
    </row>
    <row r="288" spans="1:8" ht="15" customHeight="1" hidden="1">
      <c r="A288" s="69"/>
      <c r="B288" s="69"/>
      <c r="C288" s="69">
        <v>2460</v>
      </c>
      <c r="D288" s="69" t="s">
        <v>228</v>
      </c>
      <c r="E288" s="70"/>
      <c r="F288" s="71"/>
      <c r="G288" s="72"/>
      <c r="H288" s="70" t="e">
        <f t="shared" si="7"/>
        <v>#DIV/0!</v>
      </c>
    </row>
    <row r="289" spans="1:8" ht="15">
      <c r="A289" s="69"/>
      <c r="B289" s="69"/>
      <c r="C289" s="69">
        <v>4112</v>
      </c>
      <c r="D289" s="69" t="s">
        <v>229</v>
      </c>
      <c r="E289" s="70">
        <v>34000</v>
      </c>
      <c r="F289" s="71">
        <v>34754</v>
      </c>
      <c r="G289" s="72">
        <v>23169.6</v>
      </c>
      <c r="H289" s="70">
        <f t="shared" si="7"/>
        <v>66.66743396443574</v>
      </c>
    </row>
    <row r="290" spans="1:8" ht="15" hidden="1">
      <c r="A290" s="69"/>
      <c r="B290" s="69">
        <v>6171</v>
      </c>
      <c r="C290" s="69">
        <v>2212</v>
      </c>
      <c r="D290" s="69" t="s">
        <v>230</v>
      </c>
      <c r="E290" s="70"/>
      <c r="F290" s="71"/>
      <c r="G290" s="72"/>
      <c r="H290" s="70" t="e">
        <f t="shared" si="7"/>
        <v>#DIV/0!</v>
      </c>
    </row>
    <row r="291" spans="1:8" ht="15">
      <c r="A291" s="69"/>
      <c r="B291" s="69"/>
      <c r="C291" s="69">
        <v>4132</v>
      </c>
      <c r="D291" s="69" t="s">
        <v>231</v>
      </c>
      <c r="E291" s="70">
        <v>0</v>
      </c>
      <c r="F291" s="71">
        <v>0</v>
      </c>
      <c r="G291" s="72">
        <v>125.5</v>
      </c>
      <c r="H291" s="70" t="e">
        <f t="shared" si="7"/>
        <v>#DIV/0!</v>
      </c>
    </row>
    <row r="292" spans="1:8" ht="15" hidden="1">
      <c r="A292" s="69"/>
      <c r="B292" s="69">
        <v>6171</v>
      </c>
      <c r="C292" s="69">
        <v>2328</v>
      </c>
      <c r="D292" s="69" t="s">
        <v>232</v>
      </c>
      <c r="E292" s="70"/>
      <c r="F292" s="71"/>
      <c r="G292" s="72"/>
      <c r="H292" s="70" t="e">
        <f t="shared" si="7"/>
        <v>#DIV/0!</v>
      </c>
    </row>
    <row r="293" spans="1:8" ht="15">
      <c r="A293" s="69"/>
      <c r="B293" s="69">
        <v>6310</v>
      </c>
      <c r="C293" s="69">
        <v>2141</v>
      </c>
      <c r="D293" s="69" t="s">
        <v>233</v>
      </c>
      <c r="E293" s="70">
        <v>300</v>
      </c>
      <c r="F293" s="71">
        <v>300</v>
      </c>
      <c r="G293" s="72">
        <v>430.4</v>
      </c>
      <c r="H293" s="70">
        <f t="shared" si="7"/>
        <v>143.46666666666664</v>
      </c>
    </row>
    <row r="294" spans="1:8" ht="15" hidden="1">
      <c r="A294" s="69"/>
      <c r="B294" s="69">
        <v>6310</v>
      </c>
      <c r="C294" s="69">
        <v>2142</v>
      </c>
      <c r="D294" s="69" t="s">
        <v>234</v>
      </c>
      <c r="E294" s="153"/>
      <c r="F294" s="154"/>
      <c r="G294" s="72"/>
      <c r="H294" s="70" t="e">
        <f t="shared" si="7"/>
        <v>#DIV/0!</v>
      </c>
    </row>
    <row r="295" spans="1:8" ht="15">
      <c r="A295" s="69"/>
      <c r="B295" s="69">
        <v>6310</v>
      </c>
      <c r="C295" s="69">
        <v>2329</v>
      </c>
      <c r="D295" s="69" t="s">
        <v>235</v>
      </c>
      <c r="E295" s="153">
        <v>0</v>
      </c>
      <c r="F295" s="154">
        <v>0</v>
      </c>
      <c r="G295" s="72">
        <v>1.2</v>
      </c>
      <c r="H295" s="70" t="e">
        <f t="shared" si="7"/>
        <v>#DIV/0!</v>
      </c>
    </row>
    <row r="296" spans="1:8" ht="15">
      <c r="A296" s="69"/>
      <c r="B296" s="69">
        <v>6409</v>
      </c>
      <c r="C296" s="69">
        <v>2328</v>
      </c>
      <c r="D296" s="69" t="s">
        <v>236</v>
      </c>
      <c r="E296" s="153">
        <v>0</v>
      </c>
      <c r="F296" s="154">
        <v>0</v>
      </c>
      <c r="G296" s="72">
        <v>18.4</v>
      </c>
      <c r="H296" s="70" t="e">
        <f t="shared" si="7"/>
        <v>#DIV/0!</v>
      </c>
    </row>
    <row r="297" spans="1:8" ht="15.75" customHeight="1" thickBot="1">
      <c r="A297" s="125"/>
      <c r="B297" s="125"/>
      <c r="C297" s="125"/>
      <c r="D297" s="125"/>
      <c r="E297" s="155"/>
      <c r="F297" s="156"/>
      <c r="G297" s="157"/>
      <c r="H297" s="155"/>
    </row>
    <row r="298" spans="1:8" s="89" customFormat="1" ht="21.75" customHeight="1" thickBot="1" thickTop="1">
      <c r="A298" s="130"/>
      <c r="B298" s="130"/>
      <c r="C298" s="130"/>
      <c r="D298" s="131" t="s">
        <v>237</v>
      </c>
      <c r="E298" s="132">
        <f>SUM(E272:E297)</f>
        <v>302600</v>
      </c>
      <c r="F298" s="133">
        <f>SUM(F272:F297)</f>
        <v>302779.2</v>
      </c>
      <c r="G298" s="134">
        <f>SUM(G272:G297)</f>
        <v>228640.40000000002</v>
      </c>
      <c r="H298" s="86">
        <f>(G298/F298)*100</f>
        <v>75.5139058429377</v>
      </c>
    </row>
    <row r="299" spans="1:8" ht="15" customHeight="1">
      <c r="A299" s="109"/>
      <c r="B299" s="109"/>
      <c r="C299" s="109"/>
      <c r="D299" s="52"/>
      <c r="E299" s="110"/>
      <c r="F299" s="110"/>
      <c r="G299" s="110"/>
      <c r="H299" s="110"/>
    </row>
    <row r="300" spans="1:8" ht="15">
      <c r="A300" s="89"/>
      <c r="B300" s="109"/>
      <c r="C300" s="109"/>
      <c r="D300" s="109"/>
      <c r="E300" s="158"/>
      <c r="F300" s="158"/>
      <c r="G300" s="158"/>
      <c r="H300" s="158"/>
    </row>
    <row r="301" spans="1:8" ht="15" hidden="1">
      <c r="A301" s="89"/>
      <c r="B301" s="109"/>
      <c r="C301" s="109"/>
      <c r="D301" s="109"/>
      <c r="E301" s="158"/>
      <c r="F301" s="158"/>
      <c r="G301" s="158"/>
      <c r="H301" s="158"/>
    </row>
    <row r="302" spans="1:8" ht="15" customHeight="1" thickBot="1">
      <c r="A302" s="89"/>
      <c r="B302" s="109"/>
      <c r="C302" s="109"/>
      <c r="D302" s="109"/>
      <c r="E302" s="158"/>
      <c r="F302" s="158"/>
      <c r="G302" s="158"/>
      <c r="H302" s="158"/>
    </row>
    <row r="303" spans="1:8" ht="15.75">
      <c r="A303" s="57" t="s">
        <v>25</v>
      </c>
      <c r="B303" s="57" t="s">
        <v>26</v>
      </c>
      <c r="C303" s="57" t="s">
        <v>27</v>
      </c>
      <c r="D303" s="58" t="s">
        <v>28</v>
      </c>
      <c r="E303" s="59" t="s">
        <v>29</v>
      </c>
      <c r="F303" s="59" t="s">
        <v>29</v>
      </c>
      <c r="G303" s="59" t="s">
        <v>8</v>
      </c>
      <c r="H303" s="59" t="s">
        <v>30</v>
      </c>
    </row>
    <row r="304" spans="1:8" ht="15.75" customHeight="1" thickBot="1">
      <c r="A304" s="60"/>
      <c r="B304" s="60"/>
      <c r="C304" s="60"/>
      <c r="D304" s="61"/>
      <c r="E304" s="62" t="s">
        <v>31</v>
      </c>
      <c r="F304" s="62" t="s">
        <v>32</v>
      </c>
      <c r="G304" s="63" t="s">
        <v>33</v>
      </c>
      <c r="H304" s="62" t="s">
        <v>34</v>
      </c>
    </row>
    <row r="305" spans="1:8" ht="16.5" customHeight="1" thickTop="1">
      <c r="A305" s="64">
        <v>120</v>
      </c>
      <c r="B305" s="64"/>
      <c r="C305" s="64"/>
      <c r="D305" s="115" t="s">
        <v>238</v>
      </c>
      <c r="E305" s="66"/>
      <c r="F305" s="67"/>
      <c r="G305" s="68"/>
      <c r="H305" s="66"/>
    </row>
    <row r="306" spans="1:8" ht="15.75">
      <c r="A306" s="115"/>
      <c r="B306" s="115"/>
      <c r="C306" s="115"/>
      <c r="D306" s="115"/>
      <c r="E306" s="70"/>
      <c r="F306" s="71"/>
      <c r="G306" s="72"/>
      <c r="H306" s="70"/>
    </row>
    <row r="307" spans="1:8" ht="15">
      <c r="A307" s="69"/>
      <c r="B307" s="69"/>
      <c r="C307" s="69">
        <v>1361</v>
      </c>
      <c r="D307" s="69" t="s">
        <v>37</v>
      </c>
      <c r="E307" s="159">
        <v>0</v>
      </c>
      <c r="F307" s="160">
        <v>0</v>
      </c>
      <c r="G307" s="161">
        <v>0.5</v>
      </c>
      <c r="H307" s="70" t="e">
        <f aca="true" t="shared" si="8" ref="H307:H345">(G307/F307)*100</f>
        <v>#DIV/0!</v>
      </c>
    </row>
    <row r="308" spans="1:8" ht="15">
      <c r="A308" s="69"/>
      <c r="B308" s="69">
        <v>3612</v>
      </c>
      <c r="C308" s="69">
        <v>2111</v>
      </c>
      <c r="D308" s="69" t="s">
        <v>239</v>
      </c>
      <c r="E308" s="159">
        <v>4000</v>
      </c>
      <c r="F308" s="160">
        <v>4000</v>
      </c>
      <c r="G308" s="161">
        <v>2761.6</v>
      </c>
      <c r="H308" s="70">
        <f t="shared" si="8"/>
        <v>69.04</v>
      </c>
    </row>
    <row r="309" spans="1:8" ht="15">
      <c r="A309" s="69"/>
      <c r="B309" s="69">
        <v>3612</v>
      </c>
      <c r="C309" s="69">
        <v>2132</v>
      </c>
      <c r="D309" s="69" t="s">
        <v>240</v>
      </c>
      <c r="E309" s="159">
        <v>8600</v>
      </c>
      <c r="F309" s="160">
        <v>8600</v>
      </c>
      <c r="G309" s="161">
        <v>5770.8</v>
      </c>
      <c r="H309" s="70">
        <f t="shared" si="8"/>
        <v>67.10232558139535</v>
      </c>
    </row>
    <row r="310" spans="1:8" ht="15">
      <c r="A310" s="69"/>
      <c r="B310" s="69">
        <v>3612</v>
      </c>
      <c r="C310" s="69">
        <v>2322</v>
      </c>
      <c r="D310" s="69" t="s">
        <v>202</v>
      </c>
      <c r="E310" s="159">
        <v>0</v>
      </c>
      <c r="F310" s="160">
        <v>0</v>
      </c>
      <c r="G310" s="161">
        <v>93.8</v>
      </c>
      <c r="H310" s="70" t="e">
        <f t="shared" si="8"/>
        <v>#DIV/0!</v>
      </c>
    </row>
    <row r="311" spans="1:8" ht="15">
      <c r="A311" s="69"/>
      <c r="B311" s="69">
        <v>3612</v>
      </c>
      <c r="C311" s="69">
        <v>2324</v>
      </c>
      <c r="D311" s="69" t="s">
        <v>241</v>
      </c>
      <c r="E311" s="70">
        <v>0</v>
      </c>
      <c r="F311" s="71">
        <v>0</v>
      </c>
      <c r="G311" s="72">
        <v>987.1</v>
      </c>
      <c r="H311" s="70" t="e">
        <f t="shared" si="8"/>
        <v>#DIV/0!</v>
      </c>
    </row>
    <row r="312" spans="1:8" ht="15" hidden="1">
      <c r="A312" s="69"/>
      <c r="B312" s="69">
        <v>3612</v>
      </c>
      <c r="C312" s="69">
        <v>2329</v>
      </c>
      <c r="D312" s="69" t="s">
        <v>242</v>
      </c>
      <c r="E312" s="70"/>
      <c r="F312" s="71"/>
      <c r="G312" s="72"/>
      <c r="H312" s="70" t="e">
        <f t="shared" si="8"/>
        <v>#DIV/0!</v>
      </c>
    </row>
    <row r="313" spans="1:8" ht="15">
      <c r="A313" s="69"/>
      <c r="B313" s="69">
        <v>3612</v>
      </c>
      <c r="C313" s="69">
        <v>3112</v>
      </c>
      <c r="D313" s="69" t="s">
        <v>243</v>
      </c>
      <c r="E313" s="70">
        <v>4130</v>
      </c>
      <c r="F313" s="71">
        <v>4130</v>
      </c>
      <c r="G313" s="72">
        <v>808.2</v>
      </c>
      <c r="H313" s="70">
        <f t="shared" si="8"/>
        <v>19.56900726392252</v>
      </c>
    </row>
    <row r="314" spans="1:8" ht="15">
      <c r="A314" s="69"/>
      <c r="B314" s="69">
        <v>3613</v>
      </c>
      <c r="C314" s="69">
        <v>2111</v>
      </c>
      <c r="D314" s="69" t="s">
        <v>244</v>
      </c>
      <c r="E314" s="159">
        <v>1950</v>
      </c>
      <c r="F314" s="160">
        <v>1950</v>
      </c>
      <c r="G314" s="161">
        <v>1214.4</v>
      </c>
      <c r="H314" s="70">
        <f t="shared" si="8"/>
        <v>62.27692307692308</v>
      </c>
    </row>
    <row r="315" spans="1:8" ht="15">
      <c r="A315" s="69"/>
      <c r="B315" s="69">
        <v>3613</v>
      </c>
      <c r="C315" s="69">
        <v>2132</v>
      </c>
      <c r="D315" s="69" t="s">
        <v>245</v>
      </c>
      <c r="E315" s="159">
        <v>4800</v>
      </c>
      <c r="F315" s="160">
        <v>4800</v>
      </c>
      <c r="G315" s="161">
        <v>3448</v>
      </c>
      <c r="H315" s="70">
        <f t="shared" si="8"/>
        <v>71.83333333333334</v>
      </c>
    </row>
    <row r="316" spans="1:8" ht="15" hidden="1">
      <c r="A316" s="74"/>
      <c r="B316" s="69">
        <v>3613</v>
      </c>
      <c r="C316" s="69">
        <v>2133</v>
      </c>
      <c r="D316" s="69" t="s">
        <v>246</v>
      </c>
      <c r="E316" s="70"/>
      <c r="F316" s="71"/>
      <c r="G316" s="72"/>
      <c r="H316" s="70" t="e">
        <f t="shared" si="8"/>
        <v>#DIV/0!</v>
      </c>
    </row>
    <row r="317" spans="1:8" ht="15" hidden="1">
      <c r="A317" s="74"/>
      <c r="B317" s="69">
        <v>3613</v>
      </c>
      <c r="C317" s="69">
        <v>2310</v>
      </c>
      <c r="D317" s="69" t="s">
        <v>247</v>
      </c>
      <c r="E317" s="70"/>
      <c r="F317" s="71"/>
      <c r="G317" s="72"/>
      <c r="H317" s="70" t="e">
        <f t="shared" si="8"/>
        <v>#DIV/0!</v>
      </c>
    </row>
    <row r="318" spans="1:8" ht="15" hidden="1">
      <c r="A318" s="74"/>
      <c r="B318" s="69">
        <v>3613</v>
      </c>
      <c r="C318" s="69">
        <v>2322</v>
      </c>
      <c r="D318" s="69" t="s">
        <v>248</v>
      </c>
      <c r="E318" s="70"/>
      <c r="F318" s="71"/>
      <c r="G318" s="72"/>
      <c r="H318" s="70" t="e">
        <f t="shared" si="8"/>
        <v>#DIV/0!</v>
      </c>
    </row>
    <row r="319" spans="1:8" ht="15">
      <c r="A319" s="74"/>
      <c r="B319" s="69">
        <v>3613</v>
      </c>
      <c r="C319" s="69">
        <v>2324</v>
      </c>
      <c r="D319" s="69" t="s">
        <v>249</v>
      </c>
      <c r="E319" s="70">
        <v>0</v>
      </c>
      <c r="F319" s="71">
        <v>0</v>
      </c>
      <c r="G319" s="72">
        <v>193.9</v>
      </c>
      <c r="H319" s="70" t="e">
        <f t="shared" si="8"/>
        <v>#DIV/0!</v>
      </c>
    </row>
    <row r="320" spans="1:8" ht="15">
      <c r="A320" s="74"/>
      <c r="B320" s="69">
        <v>3613</v>
      </c>
      <c r="C320" s="69">
        <v>3112</v>
      </c>
      <c r="D320" s="69" t="s">
        <v>250</v>
      </c>
      <c r="E320" s="70">
        <v>1327</v>
      </c>
      <c r="F320" s="71">
        <v>1327</v>
      </c>
      <c r="G320" s="72">
        <v>306.6</v>
      </c>
      <c r="H320" s="70">
        <f t="shared" si="8"/>
        <v>23.10474755086662</v>
      </c>
    </row>
    <row r="321" spans="1:8" ht="15">
      <c r="A321" s="74"/>
      <c r="B321" s="69">
        <v>3631</v>
      </c>
      <c r="C321" s="69">
        <v>2133</v>
      </c>
      <c r="D321" s="69" t="s">
        <v>251</v>
      </c>
      <c r="E321" s="70">
        <v>380</v>
      </c>
      <c r="F321" s="71">
        <v>380</v>
      </c>
      <c r="G321" s="72">
        <v>228.1</v>
      </c>
      <c r="H321" s="70">
        <f t="shared" si="8"/>
        <v>60.026315789473685</v>
      </c>
    </row>
    <row r="322" spans="1:8" ht="15">
      <c r="A322" s="74"/>
      <c r="B322" s="69">
        <v>3632</v>
      </c>
      <c r="C322" s="69">
        <v>2111</v>
      </c>
      <c r="D322" s="69" t="s">
        <v>252</v>
      </c>
      <c r="E322" s="70">
        <v>400</v>
      </c>
      <c r="F322" s="71">
        <v>400</v>
      </c>
      <c r="G322" s="72">
        <v>387.5</v>
      </c>
      <c r="H322" s="70">
        <f t="shared" si="8"/>
        <v>96.875</v>
      </c>
    </row>
    <row r="323" spans="1:8" ht="15">
      <c r="A323" s="74"/>
      <c r="B323" s="69">
        <v>3632</v>
      </c>
      <c r="C323" s="69">
        <v>2132</v>
      </c>
      <c r="D323" s="69" t="s">
        <v>253</v>
      </c>
      <c r="E323" s="70">
        <v>20</v>
      </c>
      <c r="F323" s="71">
        <v>20</v>
      </c>
      <c r="G323" s="72">
        <v>25</v>
      </c>
      <c r="H323" s="70">
        <f t="shared" si="8"/>
        <v>125</v>
      </c>
    </row>
    <row r="324" spans="1:8" ht="15">
      <c r="A324" s="74"/>
      <c r="B324" s="69">
        <v>3632</v>
      </c>
      <c r="C324" s="69">
        <v>2133</v>
      </c>
      <c r="D324" s="69" t="s">
        <v>254</v>
      </c>
      <c r="E324" s="70">
        <v>5</v>
      </c>
      <c r="F324" s="71">
        <v>5</v>
      </c>
      <c r="G324" s="72">
        <v>0</v>
      </c>
      <c r="H324" s="70">
        <f t="shared" si="8"/>
        <v>0</v>
      </c>
    </row>
    <row r="325" spans="1:8" ht="15">
      <c r="A325" s="74"/>
      <c r="B325" s="69">
        <v>3632</v>
      </c>
      <c r="C325" s="69">
        <v>2324</v>
      </c>
      <c r="D325" s="69" t="s">
        <v>255</v>
      </c>
      <c r="E325" s="70">
        <v>0</v>
      </c>
      <c r="F325" s="71">
        <v>0</v>
      </c>
      <c r="G325" s="72">
        <v>21.1</v>
      </c>
      <c r="H325" s="70" t="e">
        <f t="shared" si="8"/>
        <v>#DIV/0!</v>
      </c>
    </row>
    <row r="326" spans="1:8" ht="15">
      <c r="A326" s="74"/>
      <c r="B326" s="69">
        <v>3632</v>
      </c>
      <c r="C326" s="69">
        <v>2329</v>
      </c>
      <c r="D326" s="69" t="s">
        <v>256</v>
      </c>
      <c r="E326" s="70">
        <v>50</v>
      </c>
      <c r="F326" s="71">
        <v>50</v>
      </c>
      <c r="G326" s="72">
        <v>27.1</v>
      </c>
      <c r="H326" s="70">
        <f t="shared" si="8"/>
        <v>54.2</v>
      </c>
    </row>
    <row r="327" spans="1:8" ht="15">
      <c r="A327" s="74"/>
      <c r="B327" s="69">
        <v>3634</v>
      </c>
      <c r="C327" s="69">
        <v>2132</v>
      </c>
      <c r="D327" s="69" t="s">
        <v>257</v>
      </c>
      <c r="E327" s="70">
        <v>4171</v>
      </c>
      <c r="F327" s="71">
        <v>4171</v>
      </c>
      <c r="G327" s="72">
        <v>4157.5</v>
      </c>
      <c r="H327" s="70">
        <f t="shared" si="8"/>
        <v>99.67633660992567</v>
      </c>
    </row>
    <row r="328" spans="1:8" ht="15" hidden="1">
      <c r="A328" s="74"/>
      <c r="B328" s="69">
        <v>3636</v>
      </c>
      <c r="C328" s="69">
        <v>2131</v>
      </c>
      <c r="D328" s="69" t="s">
        <v>258</v>
      </c>
      <c r="E328" s="70"/>
      <c r="F328" s="71"/>
      <c r="G328" s="72"/>
      <c r="H328" s="70" t="e">
        <f t="shared" si="8"/>
        <v>#DIV/0!</v>
      </c>
    </row>
    <row r="329" spans="1:8" ht="15">
      <c r="A329" s="74"/>
      <c r="B329" s="69">
        <v>3639</v>
      </c>
      <c r="C329" s="69">
        <v>2119</v>
      </c>
      <c r="D329" s="69" t="s">
        <v>259</v>
      </c>
      <c r="E329" s="70">
        <v>100</v>
      </c>
      <c r="F329" s="71">
        <v>100</v>
      </c>
      <c r="G329" s="72">
        <v>524.2</v>
      </c>
      <c r="H329" s="70">
        <f t="shared" si="8"/>
        <v>524.2</v>
      </c>
    </row>
    <row r="330" spans="1:8" ht="15">
      <c r="A330" s="69"/>
      <c r="B330" s="69">
        <v>3639</v>
      </c>
      <c r="C330" s="69">
        <v>2131</v>
      </c>
      <c r="D330" s="69" t="s">
        <v>260</v>
      </c>
      <c r="E330" s="70">
        <v>1600</v>
      </c>
      <c r="F330" s="71">
        <v>1600</v>
      </c>
      <c r="G330" s="72">
        <v>1756.4</v>
      </c>
      <c r="H330" s="70">
        <f t="shared" si="8"/>
        <v>109.775</v>
      </c>
    </row>
    <row r="331" spans="1:8" ht="15">
      <c r="A331" s="69"/>
      <c r="B331" s="69">
        <v>3639</v>
      </c>
      <c r="C331" s="69">
        <v>2132</v>
      </c>
      <c r="D331" s="69" t="s">
        <v>261</v>
      </c>
      <c r="E331" s="70">
        <v>18</v>
      </c>
      <c r="F331" s="71">
        <v>18</v>
      </c>
      <c r="G331" s="72">
        <v>11.5</v>
      </c>
      <c r="H331" s="70">
        <f t="shared" si="8"/>
        <v>63.888888888888886</v>
      </c>
    </row>
    <row r="332" spans="1:8" ht="15" customHeight="1" hidden="1">
      <c r="A332" s="69"/>
      <c r="B332" s="69">
        <v>3639</v>
      </c>
      <c r="C332" s="69">
        <v>2212</v>
      </c>
      <c r="D332" s="69" t="s">
        <v>262</v>
      </c>
      <c r="E332" s="70"/>
      <c r="F332" s="71"/>
      <c r="G332" s="72"/>
      <c r="H332" s="70" t="e">
        <f t="shared" si="8"/>
        <v>#DIV/0!</v>
      </c>
    </row>
    <row r="333" spans="1:8" ht="15">
      <c r="A333" s="69"/>
      <c r="B333" s="69">
        <v>3639</v>
      </c>
      <c r="C333" s="69">
        <v>2324</v>
      </c>
      <c r="D333" s="69" t="s">
        <v>263</v>
      </c>
      <c r="E333" s="70">
        <v>110.1</v>
      </c>
      <c r="F333" s="71">
        <v>110.1</v>
      </c>
      <c r="G333" s="72">
        <v>98.1</v>
      </c>
      <c r="H333" s="70">
        <f t="shared" si="8"/>
        <v>89.10081743869209</v>
      </c>
    </row>
    <row r="334" spans="1:8" ht="15">
      <c r="A334" s="69"/>
      <c r="B334" s="69">
        <v>3639</v>
      </c>
      <c r="C334" s="69">
        <v>2328</v>
      </c>
      <c r="D334" s="69" t="s">
        <v>264</v>
      </c>
      <c r="E334" s="70">
        <v>0</v>
      </c>
      <c r="F334" s="71">
        <v>0</v>
      </c>
      <c r="G334" s="72">
        <v>0</v>
      </c>
      <c r="H334" s="70" t="e">
        <f t="shared" si="8"/>
        <v>#DIV/0!</v>
      </c>
    </row>
    <row r="335" spans="1:8" ht="15">
      <c r="A335" s="69"/>
      <c r="B335" s="69">
        <v>3639</v>
      </c>
      <c r="C335" s="69">
        <v>3111</v>
      </c>
      <c r="D335" s="69" t="s">
        <v>265</v>
      </c>
      <c r="E335" s="70">
        <v>214</v>
      </c>
      <c r="F335" s="71">
        <v>214</v>
      </c>
      <c r="G335" s="72">
        <v>421</v>
      </c>
      <c r="H335" s="70">
        <f t="shared" si="8"/>
        <v>196.72897196261684</v>
      </c>
    </row>
    <row r="336" spans="1:8" ht="15" hidden="1">
      <c r="A336" s="69"/>
      <c r="B336" s="69">
        <v>3639</v>
      </c>
      <c r="C336" s="69">
        <v>3112</v>
      </c>
      <c r="D336" s="69" t="s">
        <v>266</v>
      </c>
      <c r="E336" s="70"/>
      <c r="F336" s="71"/>
      <c r="G336" s="72"/>
      <c r="H336" s="70" t="e">
        <f t="shared" si="8"/>
        <v>#DIV/0!</v>
      </c>
    </row>
    <row r="337" spans="1:8" ht="15" hidden="1">
      <c r="A337" s="69"/>
      <c r="B337" s="69">
        <v>3639</v>
      </c>
      <c r="C337" s="69">
        <v>3113</v>
      </c>
      <c r="D337" s="69" t="s">
        <v>267</v>
      </c>
      <c r="E337" s="70"/>
      <c r="F337" s="71"/>
      <c r="G337" s="72"/>
      <c r="H337" s="70" t="e">
        <f t="shared" si="8"/>
        <v>#DIV/0!</v>
      </c>
    </row>
    <row r="338" spans="1:8" ht="15" customHeight="1">
      <c r="A338" s="96"/>
      <c r="B338" s="96">
        <v>3639</v>
      </c>
      <c r="C338" s="96">
        <v>3119</v>
      </c>
      <c r="D338" s="96" t="s">
        <v>268</v>
      </c>
      <c r="E338" s="70">
        <v>7200</v>
      </c>
      <c r="F338" s="71">
        <v>7200</v>
      </c>
      <c r="G338" s="72">
        <v>3000</v>
      </c>
      <c r="H338" s="70">
        <f t="shared" si="8"/>
        <v>41.66666666666667</v>
      </c>
    </row>
    <row r="339" spans="1:8" ht="15" hidden="1">
      <c r="A339" s="96"/>
      <c r="B339" s="96">
        <v>6171</v>
      </c>
      <c r="C339" s="96">
        <v>2131</v>
      </c>
      <c r="D339" s="96" t="s">
        <v>269</v>
      </c>
      <c r="E339" s="70"/>
      <c r="F339" s="71"/>
      <c r="G339" s="72"/>
      <c r="H339" s="70" t="e">
        <f t="shared" si="8"/>
        <v>#DIV/0!</v>
      </c>
    </row>
    <row r="340" spans="1:8" ht="15" hidden="1">
      <c r="A340" s="69"/>
      <c r="B340" s="69">
        <v>6171</v>
      </c>
      <c r="C340" s="69">
        <v>2324</v>
      </c>
      <c r="D340" s="69" t="s">
        <v>270</v>
      </c>
      <c r="E340" s="70"/>
      <c r="F340" s="71"/>
      <c r="G340" s="72"/>
      <c r="H340" s="70" t="e">
        <f t="shared" si="8"/>
        <v>#DIV/0!</v>
      </c>
    </row>
    <row r="341" spans="1:8" ht="15" hidden="1">
      <c r="A341" s="69"/>
      <c r="B341" s="69"/>
      <c r="C341" s="69"/>
      <c r="D341" s="69"/>
      <c r="E341" s="70"/>
      <c r="F341" s="71"/>
      <c r="G341" s="72"/>
      <c r="H341" s="70" t="e">
        <f t="shared" si="8"/>
        <v>#DIV/0!</v>
      </c>
    </row>
    <row r="342" spans="1:8" ht="15" customHeight="1">
      <c r="A342" s="96"/>
      <c r="B342" s="96">
        <v>6171</v>
      </c>
      <c r="C342" s="96">
        <v>2131</v>
      </c>
      <c r="D342" s="96" t="s">
        <v>271</v>
      </c>
      <c r="E342" s="70">
        <v>10</v>
      </c>
      <c r="F342" s="71">
        <v>10</v>
      </c>
      <c r="G342" s="72">
        <v>0</v>
      </c>
      <c r="H342" s="70">
        <f t="shared" si="8"/>
        <v>0</v>
      </c>
    </row>
    <row r="343" spans="1:8" ht="15" customHeight="1" hidden="1">
      <c r="A343" s="96"/>
      <c r="B343" s="96">
        <v>6171</v>
      </c>
      <c r="C343" s="96">
        <v>2133</v>
      </c>
      <c r="D343" s="96" t="s">
        <v>272</v>
      </c>
      <c r="E343" s="70"/>
      <c r="F343" s="71"/>
      <c r="G343" s="72"/>
      <c r="H343" s="70" t="e">
        <f t="shared" si="8"/>
        <v>#DIV/0!</v>
      </c>
    </row>
    <row r="344" spans="1:8" ht="15" customHeight="1" hidden="1">
      <c r="A344" s="69"/>
      <c r="B344" s="69">
        <v>6409</v>
      </c>
      <c r="C344" s="69">
        <v>2328</v>
      </c>
      <c r="D344" s="69" t="s">
        <v>273</v>
      </c>
      <c r="E344" s="70"/>
      <c r="F344" s="71"/>
      <c r="G344" s="72"/>
      <c r="H344" s="70" t="e">
        <f t="shared" si="8"/>
        <v>#DIV/0!</v>
      </c>
    </row>
    <row r="345" spans="1:8" ht="15" customHeight="1">
      <c r="A345" s="96"/>
      <c r="B345" s="96">
        <v>6409</v>
      </c>
      <c r="C345" s="96">
        <v>2328</v>
      </c>
      <c r="D345" s="96" t="s">
        <v>273</v>
      </c>
      <c r="E345" s="70">
        <v>0</v>
      </c>
      <c r="F345" s="71">
        <v>0</v>
      </c>
      <c r="G345" s="72">
        <v>0.5</v>
      </c>
      <c r="H345" s="70" t="e">
        <f t="shared" si="8"/>
        <v>#DIV/0!</v>
      </c>
    </row>
    <row r="346" spans="1:8" ht="15.75" customHeight="1" thickBot="1">
      <c r="A346" s="162"/>
      <c r="B346" s="162"/>
      <c r="C346" s="162"/>
      <c r="D346" s="162"/>
      <c r="E346" s="163"/>
      <c r="F346" s="164"/>
      <c r="G346" s="165"/>
      <c r="H346" s="163"/>
    </row>
    <row r="347" spans="1:8" s="89" customFormat="1" ht="22.5" customHeight="1" thickBot="1" thickTop="1">
      <c r="A347" s="130"/>
      <c r="B347" s="130"/>
      <c r="C347" s="130"/>
      <c r="D347" s="131" t="s">
        <v>274</v>
      </c>
      <c r="E347" s="132">
        <f>SUM(E306:E346)</f>
        <v>39085.1</v>
      </c>
      <c r="F347" s="133">
        <f>SUM(F306:F346)</f>
        <v>39085.1</v>
      </c>
      <c r="G347" s="134">
        <f>SUM(G306:G346)</f>
        <v>26242.9</v>
      </c>
      <c r="H347" s="86">
        <f>(G347/F347)*100</f>
        <v>67.14297775878788</v>
      </c>
    </row>
    <row r="348" spans="1:8" ht="15" customHeight="1">
      <c r="A348" s="89"/>
      <c r="B348" s="109"/>
      <c r="C348" s="109"/>
      <c r="D348" s="109"/>
      <c r="E348" s="158"/>
      <c r="F348" s="158"/>
      <c r="G348" s="158"/>
      <c r="H348" s="158"/>
    </row>
    <row r="349" spans="1:8" ht="15" customHeight="1" hidden="1">
      <c r="A349" s="89"/>
      <c r="B349" s="109"/>
      <c r="C349" s="109"/>
      <c r="D349" s="109"/>
      <c r="E349" s="158"/>
      <c r="F349" s="158"/>
      <c r="G349" s="158"/>
      <c r="H349" s="158"/>
    </row>
    <row r="350" spans="1:8" ht="15" customHeight="1" hidden="1">
      <c r="A350" s="89"/>
      <c r="B350" s="109"/>
      <c r="C350" s="109"/>
      <c r="D350" s="109"/>
      <c r="E350" s="158"/>
      <c r="F350" s="158"/>
      <c r="G350" s="158"/>
      <c r="H350" s="158"/>
    </row>
    <row r="351" spans="1:8" ht="15" customHeight="1" hidden="1">
      <c r="A351" s="89"/>
      <c r="B351" s="109"/>
      <c r="C351" s="109"/>
      <c r="D351" s="109"/>
      <c r="E351" s="158"/>
      <c r="F351" s="158"/>
      <c r="G351" s="48"/>
      <c r="H351" s="48"/>
    </row>
    <row r="352" spans="1:8" ht="15" customHeight="1" hidden="1">
      <c r="A352" s="89"/>
      <c r="B352" s="109"/>
      <c r="C352" s="109"/>
      <c r="D352" s="109"/>
      <c r="E352" s="158"/>
      <c r="F352" s="158"/>
      <c r="G352" s="158"/>
      <c r="H352" s="158"/>
    </row>
    <row r="353" spans="1:8" ht="15" customHeight="1">
      <c r="A353" s="89"/>
      <c r="B353" s="109"/>
      <c r="C353" s="109"/>
      <c r="D353" s="109"/>
      <c r="E353" s="158"/>
      <c r="F353" s="158"/>
      <c r="G353" s="158"/>
      <c r="H353" s="158"/>
    </row>
    <row r="354" spans="1:8" ht="15" customHeight="1" thickBot="1">
      <c r="A354" s="89"/>
      <c r="B354" s="109"/>
      <c r="C354" s="109"/>
      <c r="D354" s="109"/>
      <c r="E354" s="158"/>
      <c r="F354" s="158"/>
      <c r="G354" s="158"/>
      <c r="H354" s="158"/>
    </row>
    <row r="355" spans="1:8" ht="15.75">
      <c r="A355" s="57" t="s">
        <v>25</v>
      </c>
      <c r="B355" s="57" t="s">
        <v>26</v>
      </c>
      <c r="C355" s="57" t="s">
        <v>27</v>
      </c>
      <c r="D355" s="58" t="s">
        <v>28</v>
      </c>
      <c r="E355" s="59" t="s">
        <v>29</v>
      </c>
      <c r="F355" s="59" t="s">
        <v>29</v>
      </c>
      <c r="G355" s="59" t="s">
        <v>8</v>
      </c>
      <c r="H355" s="59" t="s">
        <v>30</v>
      </c>
    </row>
    <row r="356" spans="1:8" ht="15.75" customHeight="1" thickBot="1">
      <c r="A356" s="60"/>
      <c r="B356" s="60"/>
      <c r="C356" s="60"/>
      <c r="D356" s="61"/>
      <c r="E356" s="62" t="s">
        <v>31</v>
      </c>
      <c r="F356" s="62" t="s">
        <v>32</v>
      </c>
      <c r="G356" s="63" t="s">
        <v>33</v>
      </c>
      <c r="H356" s="62" t="s">
        <v>34</v>
      </c>
    </row>
    <row r="357" spans="1:8" ht="16.5" thickTop="1">
      <c r="A357" s="64">
        <v>8888</v>
      </c>
      <c r="B357" s="64"/>
      <c r="C357" s="64"/>
      <c r="D357" s="65"/>
      <c r="E357" s="66"/>
      <c r="F357" s="67"/>
      <c r="G357" s="68"/>
      <c r="H357" s="66"/>
    </row>
    <row r="358" spans="1:8" ht="15">
      <c r="A358" s="69"/>
      <c r="B358" s="69">
        <v>6171</v>
      </c>
      <c r="C358" s="69">
        <v>2329</v>
      </c>
      <c r="D358" s="69" t="s">
        <v>275</v>
      </c>
      <c r="E358" s="70">
        <v>0</v>
      </c>
      <c r="F358" s="71">
        <v>0</v>
      </c>
      <c r="G358" s="72">
        <v>0.3</v>
      </c>
      <c r="H358" s="70" t="e">
        <f>(G358/F358)*100</f>
        <v>#DIV/0!</v>
      </c>
    </row>
    <row r="359" spans="1:8" ht="15">
      <c r="A359" s="69"/>
      <c r="B359" s="69"/>
      <c r="C359" s="69"/>
      <c r="D359" s="69" t="s">
        <v>276</v>
      </c>
      <c r="E359" s="70"/>
      <c r="F359" s="71"/>
      <c r="G359" s="72"/>
      <c r="H359" s="70"/>
    </row>
    <row r="360" spans="1:8" ht="15.75" thickBot="1">
      <c r="A360" s="125"/>
      <c r="B360" s="125"/>
      <c r="C360" s="125"/>
      <c r="D360" s="125" t="s">
        <v>277</v>
      </c>
      <c r="E360" s="126"/>
      <c r="F360" s="127"/>
      <c r="G360" s="128"/>
      <c r="H360" s="126"/>
    </row>
    <row r="361" spans="1:8" s="89" customFormat="1" ht="22.5" customHeight="1" thickBot="1" thickTop="1">
      <c r="A361" s="130"/>
      <c r="B361" s="130"/>
      <c r="C361" s="130"/>
      <c r="D361" s="131" t="s">
        <v>278</v>
      </c>
      <c r="E361" s="132">
        <f>SUM(E358:E359)</f>
        <v>0</v>
      </c>
      <c r="F361" s="133">
        <f>SUM(F358:F359)</f>
        <v>0</v>
      </c>
      <c r="G361" s="134">
        <f>SUM(G358:G359)</f>
        <v>0.3</v>
      </c>
      <c r="H361" s="86" t="e">
        <f>(G361/F361)*100</f>
        <v>#DIV/0!</v>
      </c>
    </row>
    <row r="362" spans="1:8" ht="15">
      <c r="A362" s="89"/>
      <c r="B362" s="109"/>
      <c r="C362" s="109"/>
      <c r="D362" s="109"/>
      <c r="E362" s="158"/>
      <c r="F362" s="158"/>
      <c r="G362" s="158"/>
      <c r="H362" s="158"/>
    </row>
    <row r="363" spans="1:8" ht="15" hidden="1">
      <c r="A363" s="89"/>
      <c r="B363" s="109"/>
      <c r="C363" s="109"/>
      <c r="D363" s="109"/>
      <c r="E363" s="158"/>
      <c r="F363" s="158"/>
      <c r="G363" s="158"/>
      <c r="H363" s="158"/>
    </row>
    <row r="364" spans="1:8" ht="15" hidden="1">
      <c r="A364" s="89"/>
      <c r="B364" s="109"/>
      <c r="C364" s="109"/>
      <c r="D364" s="109"/>
      <c r="E364" s="158"/>
      <c r="F364" s="158"/>
      <c r="G364" s="158"/>
      <c r="H364" s="158"/>
    </row>
    <row r="365" spans="1:8" ht="15" hidden="1">
      <c r="A365" s="89"/>
      <c r="B365" s="109"/>
      <c r="C365" s="109"/>
      <c r="D365" s="109"/>
      <c r="E365" s="158"/>
      <c r="F365" s="158"/>
      <c r="G365" s="158"/>
      <c r="H365" s="158"/>
    </row>
    <row r="366" spans="1:8" ht="15" hidden="1">
      <c r="A366" s="89"/>
      <c r="B366" s="109"/>
      <c r="C366" s="109"/>
      <c r="D366" s="109"/>
      <c r="E366" s="158"/>
      <c r="F366" s="158"/>
      <c r="G366" s="158"/>
      <c r="H366" s="158"/>
    </row>
    <row r="367" spans="1:8" ht="15" hidden="1">
      <c r="A367" s="89"/>
      <c r="B367" s="109"/>
      <c r="C367" s="109"/>
      <c r="D367" s="109"/>
      <c r="E367" s="158"/>
      <c r="F367" s="158"/>
      <c r="G367" s="158"/>
      <c r="H367" s="158"/>
    </row>
    <row r="368" spans="1:8" ht="15" customHeight="1">
      <c r="A368" s="89"/>
      <c r="B368" s="109"/>
      <c r="C368" s="109"/>
      <c r="D368" s="109"/>
      <c r="E368" s="158"/>
      <c r="F368" s="158"/>
      <c r="G368" s="158"/>
      <c r="H368" s="158"/>
    </row>
    <row r="369" spans="1:8" ht="15" customHeight="1" thickBot="1">
      <c r="A369" s="89"/>
      <c r="B369" s="89"/>
      <c r="C369" s="89"/>
      <c r="D369" s="89"/>
      <c r="E369" s="90"/>
      <c r="F369" s="90"/>
      <c r="G369" s="90"/>
      <c r="H369" s="90"/>
    </row>
    <row r="370" spans="1:8" ht="15.75">
      <c r="A370" s="57" t="s">
        <v>25</v>
      </c>
      <c r="B370" s="57" t="s">
        <v>26</v>
      </c>
      <c r="C370" s="57" t="s">
        <v>27</v>
      </c>
      <c r="D370" s="58" t="s">
        <v>28</v>
      </c>
      <c r="E370" s="59" t="s">
        <v>29</v>
      </c>
      <c r="F370" s="59" t="s">
        <v>29</v>
      </c>
      <c r="G370" s="59" t="s">
        <v>8</v>
      </c>
      <c r="H370" s="59" t="s">
        <v>30</v>
      </c>
    </row>
    <row r="371" spans="1:8" ht="15.75" customHeight="1" thickBot="1">
      <c r="A371" s="60"/>
      <c r="B371" s="60"/>
      <c r="C371" s="60"/>
      <c r="D371" s="61"/>
      <c r="E371" s="62" t="s">
        <v>31</v>
      </c>
      <c r="F371" s="62" t="s">
        <v>32</v>
      </c>
      <c r="G371" s="63" t="s">
        <v>33</v>
      </c>
      <c r="H371" s="62" t="s">
        <v>34</v>
      </c>
    </row>
    <row r="372" spans="1:8" s="89" customFormat="1" ht="30.75" customHeight="1" thickBot="1" thickTop="1">
      <c r="A372" s="131"/>
      <c r="B372" s="166"/>
      <c r="C372" s="167"/>
      <c r="D372" s="168" t="s">
        <v>279</v>
      </c>
      <c r="E372" s="169">
        <f>SUM(E60,E104,E145,E173,E200,E224,E243,E263,E298,E347,E361)</f>
        <v>434937.1</v>
      </c>
      <c r="F372" s="170">
        <f>SUM(F60,F104,F145,F173,F200,F224,F243,F263,F298,F347,F361)</f>
        <v>435590.6</v>
      </c>
      <c r="G372" s="171">
        <f>SUM(G60,G104,G145,G173,G200,G224,G243,G263,G298,G347,G361)</f>
        <v>301324.4</v>
      </c>
      <c r="H372" s="169">
        <f>(G372/F372)*100</f>
        <v>69.17605659993582</v>
      </c>
    </row>
    <row r="373" spans="1:8" ht="15" customHeight="1">
      <c r="A373" s="52"/>
      <c r="B373" s="172"/>
      <c r="C373" s="173"/>
      <c r="D373" s="174"/>
      <c r="E373" s="175"/>
      <c r="F373" s="175"/>
      <c r="G373" s="175"/>
      <c r="H373" s="175"/>
    </row>
    <row r="374" spans="1:8" ht="15" customHeight="1" hidden="1">
      <c r="A374" s="52"/>
      <c r="B374" s="172"/>
      <c r="C374" s="173"/>
      <c r="D374" s="174"/>
      <c r="E374" s="175"/>
      <c r="F374" s="175"/>
      <c r="G374" s="175"/>
      <c r="H374" s="175"/>
    </row>
    <row r="375" spans="1:8" ht="12.75" customHeight="1" hidden="1">
      <c r="A375" s="52"/>
      <c r="B375" s="172"/>
      <c r="C375" s="173"/>
      <c r="D375" s="174"/>
      <c r="E375" s="175"/>
      <c r="F375" s="175"/>
      <c r="G375" s="175"/>
      <c r="H375" s="175"/>
    </row>
    <row r="376" spans="1:8" ht="12.75" customHeight="1" hidden="1">
      <c r="A376" s="52"/>
      <c r="B376" s="172"/>
      <c r="C376" s="173"/>
      <c r="D376" s="174"/>
      <c r="E376" s="175"/>
      <c r="F376" s="175"/>
      <c r="G376" s="175"/>
      <c r="H376" s="175"/>
    </row>
    <row r="377" spans="1:8" ht="12.75" customHeight="1" hidden="1">
      <c r="A377" s="52"/>
      <c r="B377" s="172"/>
      <c r="C377" s="173"/>
      <c r="D377" s="174"/>
      <c r="E377" s="175"/>
      <c r="F377" s="175"/>
      <c r="G377" s="175"/>
      <c r="H377" s="175"/>
    </row>
    <row r="378" spans="1:8" ht="12.75" customHeight="1" hidden="1">
      <c r="A378" s="52"/>
      <c r="B378" s="172"/>
      <c r="C378" s="173"/>
      <c r="D378" s="174"/>
      <c r="E378" s="175"/>
      <c r="F378" s="175"/>
      <c r="G378" s="175"/>
      <c r="H378" s="175"/>
    </row>
    <row r="379" spans="1:8" ht="12.75" customHeight="1" hidden="1">
      <c r="A379" s="52"/>
      <c r="B379" s="172"/>
      <c r="C379" s="173"/>
      <c r="D379" s="174"/>
      <c r="E379" s="175"/>
      <c r="F379" s="175"/>
      <c r="G379" s="175"/>
      <c r="H379" s="175"/>
    </row>
    <row r="380" spans="1:8" ht="12.75" customHeight="1" hidden="1">
      <c r="A380" s="52"/>
      <c r="B380" s="172"/>
      <c r="C380" s="173"/>
      <c r="D380" s="174"/>
      <c r="E380" s="175"/>
      <c r="F380" s="175"/>
      <c r="G380" s="175"/>
      <c r="H380" s="175"/>
    </row>
    <row r="381" spans="1:8" ht="15" customHeight="1">
      <c r="A381" s="52"/>
      <c r="B381" s="172"/>
      <c r="C381" s="173"/>
      <c r="D381" s="174"/>
      <c r="E381" s="175"/>
      <c r="F381" s="175"/>
      <c r="G381" s="175"/>
      <c r="H381" s="175"/>
    </row>
    <row r="382" spans="1:8" ht="15" customHeight="1" thickBot="1">
      <c r="A382" s="52"/>
      <c r="B382" s="172"/>
      <c r="C382" s="173"/>
      <c r="D382" s="174"/>
      <c r="E382" s="176"/>
      <c r="F382" s="176"/>
      <c r="G382" s="176"/>
      <c r="H382" s="176"/>
    </row>
    <row r="383" spans="1:8" ht="15.75">
      <c r="A383" s="57" t="s">
        <v>25</v>
      </c>
      <c r="B383" s="57" t="s">
        <v>26</v>
      </c>
      <c r="C383" s="57" t="s">
        <v>27</v>
      </c>
      <c r="D383" s="58" t="s">
        <v>28</v>
      </c>
      <c r="E383" s="59" t="s">
        <v>29</v>
      </c>
      <c r="F383" s="59" t="s">
        <v>29</v>
      </c>
      <c r="G383" s="59" t="s">
        <v>8</v>
      </c>
      <c r="H383" s="59" t="s">
        <v>30</v>
      </c>
    </row>
    <row r="384" spans="1:8" ht="15.75" customHeight="1" thickBot="1">
      <c r="A384" s="60"/>
      <c r="B384" s="60"/>
      <c r="C384" s="60"/>
      <c r="D384" s="61"/>
      <c r="E384" s="62" t="s">
        <v>31</v>
      </c>
      <c r="F384" s="62" t="s">
        <v>32</v>
      </c>
      <c r="G384" s="63" t="s">
        <v>33</v>
      </c>
      <c r="H384" s="62" t="s">
        <v>34</v>
      </c>
    </row>
    <row r="385" spans="1:8" ht="16.5" customHeight="1" thickTop="1">
      <c r="A385" s="147">
        <v>110</v>
      </c>
      <c r="B385" s="147"/>
      <c r="C385" s="147"/>
      <c r="D385" s="177" t="s">
        <v>280</v>
      </c>
      <c r="E385" s="178"/>
      <c r="F385" s="179"/>
      <c r="G385" s="180"/>
      <c r="H385" s="178"/>
    </row>
    <row r="386" spans="1:8" ht="14.25" customHeight="1">
      <c r="A386" s="181"/>
      <c r="B386" s="181"/>
      <c r="C386" s="181"/>
      <c r="D386" s="52"/>
      <c r="E386" s="178"/>
      <c r="F386" s="179"/>
      <c r="G386" s="180"/>
      <c r="H386" s="178"/>
    </row>
    <row r="387" spans="1:8" ht="15" customHeight="1">
      <c r="A387" s="69"/>
      <c r="B387" s="69"/>
      <c r="C387" s="69">
        <v>8115</v>
      </c>
      <c r="D387" s="104" t="s">
        <v>281</v>
      </c>
      <c r="E387" s="182">
        <v>75633.4</v>
      </c>
      <c r="F387" s="183">
        <v>108538.9</v>
      </c>
      <c r="G387" s="184">
        <v>-35137.8</v>
      </c>
      <c r="H387" s="70">
        <f>(G387/F387)*100</f>
        <v>-32.37346241762171</v>
      </c>
    </row>
    <row r="388" spans="1:8" ht="15" hidden="1">
      <c r="A388" s="69"/>
      <c r="B388" s="69"/>
      <c r="C388" s="69">
        <v>8123</v>
      </c>
      <c r="D388" s="185" t="s">
        <v>282</v>
      </c>
      <c r="E388" s="75">
        <v>0</v>
      </c>
      <c r="F388" s="76"/>
      <c r="G388" s="77"/>
      <c r="H388" s="70" t="e">
        <f>(G388/F388)*100</f>
        <v>#DIV/0!</v>
      </c>
    </row>
    <row r="389" spans="1:8" ht="14.25" customHeight="1">
      <c r="A389" s="69"/>
      <c r="B389" s="69"/>
      <c r="C389" s="69">
        <v>8124</v>
      </c>
      <c r="D389" s="104" t="s">
        <v>283</v>
      </c>
      <c r="E389" s="70">
        <v>-18032</v>
      </c>
      <c r="F389" s="71">
        <v>-18032</v>
      </c>
      <c r="G389" s="72">
        <v>-10645.8</v>
      </c>
      <c r="H389" s="70">
        <f>(G389/F389)*100</f>
        <v>59.03837622005324</v>
      </c>
    </row>
    <row r="390" spans="1:8" ht="15" customHeight="1" hidden="1">
      <c r="A390" s="80"/>
      <c r="B390" s="80"/>
      <c r="C390" s="80">
        <v>8902</v>
      </c>
      <c r="D390" s="186" t="s">
        <v>284</v>
      </c>
      <c r="E390" s="81"/>
      <c r="F390" s="82"/>
      <c r="G390" s="83"/>
      <c r="H390" s="75" t="e">
        <f>(#REF!/F390)*100</f>
        <v>#REF!</v>
      </c>
    </row>
    <row r="391" spans="1:8" ht="14.25" customHeight="1" hidden="1">
      <c r="A391" s="69"/>
      <c r="B391" s="69"/>
      <c r="C391" s="69">
        <v>8905</v>
      </c>
      <c r="D391" s="104" t="s">
        <v>285</v>
      </c>
      <c r="E391" s="70"/>
      <c r="F391" s="71"/>
      <c r="G391" s="72"/>
      <c r="H391" s="70" t="e">
        <f>(#REF!/F391)*100</f>
        <v>#REF!</v>
      </c>
    </row>
    <row r="392" spans="1:8" ht="15" customHeight="1" thickBot="1">
      <c r="A392" s="125"/>
      <c r="B392" s="125"/>
      <c r="C392" s="125"/>
      <c r="D392" s="124"/>
      <c r="E392" s="126"/>
      <c r="F392" s="127"/>
      <c r="G392" s="128"/>
      <c r="H392" s="126"/>
    </row>
    <row r="393" spans="1:8" s="89" customFormat="1" ht="22.5" customHeight="1" thickBot="1" thickTop="1">
      <c r="A393" s="130"/>
      <c r="B393" s="130"/>
      <c r="C393" s="130"/>
      <c r="D393" s="187" t="s">
        <v>286</v>
      </c>
      <c r="E393" s="132">
        <f>SUM(E387:E391)</f>
        <v>57601.399999999994</v>
      </c>
      <c r="F393" s="133">
        <f>SUM(F387:F391)</f>
        <v>90506.9</v>
      </c>
      <c r="G393" s="134">
        <f>SUM(G387:G391)</f>
        <v>-45783.600000000006</v>
      </c>
      <c r="H393" s="132">
        <f>(G393/F393)*100</f>
        <v>-50.58575644508873</v>
      </c>
    </row>
    <row r="394" spans="1:8" s="89" customFormat="1" ht="22.5" customHeight="1">
      <c r="A394" s="109"/>
      <c r="B394" s="109"/>
      <c r="C394" s="109"/>
      <c r="D394" s="52"/>
      <c r="E394" s="110"/>
      <c r="F394" s="188"/>
      <c r="G394" s="110"/>
      <c r="H394" s="110"/>
    </row>
    <row r="395" spans="1:8" ht="15" customHeight="1">
      <c r="A395" s="89" t="s">
        <v>287</v>
      </c>
      <c r="B395" s="89"/>
      <c r="C395" s="89"/>
      <c r="D395" s="52"/>
      <c r="E395" s="110"/>
      <c r="F395" s="188"/>
      <c r="G395" s="110"/>
      <c r="H395" s="110"/>
    </row>
    <row r="396" spans="1:8" ht="15">
      <c r="A396" s="109"/>
      <c r="B396" s="89"/>
      <c r="C396" s="109"/>
      <c r="D396" s="89"/>
      <c r="E396" s="90"/>
      <c r="F396" s="189"/>
      <c r="G396" s="90"/>
      <c r="H396" s="90"/>
    </row>
    <row r="397" spans="1:8" ht="15">
      <c r="A397" s="109"/>
      <c r="B397" s="109"/>
      <c r="C397" s="109"/>
      <c r="D397" s="89"/>
      <c r="E397" s="90"/>
      <c r="F397" s="90"/>
      <c r="G397" s="90"/>
      <c r="H397" s="90"/>
    </row>
    <row r="398" spans="1:8" ht="15" hidden="1">
      <c r="A398" s="190"/>
      <c r="B398" s="190"/>
      <c r="C398" s="190"/>
      <c r="D398" s="191" t="s">
        <v>288</v>
      </c>
      <c r="E398" s="192" t="e">
        <f>SUM(E14,#REF!,#REF!,E233,E257,E289,#REF!)</f>
        <v>#REF!</v>
      </c>
      <c r="F398" s="192"/>
      <c r="G398" s="192"/>
      <c r="H398" s="192"/>
    </row>
    <row r="399" spans="1:8" ht="15">
      <c r="A399" s="190"/>
      <c r="B399" s="190"/>
      <c r="C399" s="190"/>
      <c r="D399" s="193" t="s">
        <v>289</v>
      </c>
      <c r="E399" s="194">
        <f>E372+E393</f>
        <v>492538.5</v>
      </c>
      <c r="F399" s="194">
        <f>F372+F393</f>
        <v>526097.5</v>
      </c>
      <c r="G399" s="194">
        <f>G372+G393</f>
        <v>255540.80000000002</v>
      </c>
      <c r="H399" s="70">
        <f>(G399/F399)*100</f>
        <v>48.57289760928346</v>
      </c>
    </row>
    <row r="400" spans="1:8" ht="15" hidden="1">
      <c r="A400" s="190"/>
      <c r="B400" s="190"/>
      <c r="C400" s="190"/>
      <c r="D400" s="193" t="s">
        <v>290</v>
      </c>
      <c r="E400" s="194"/>
      <c r="F400" s="194"/>
      <c r="G400" s="194"/>
      <c r="H400" s="194"/>
    </row>
    <row r="401" spans="1:8" ht="15" hidden="1">
      <c r="A401" s="190"/>
      <c r="B401" s="190"/>
      <c r="C401" s="190"/>
      <c r="D401" s="190" t="s">
        <v>291</v>
      </c>
      <c r="E401" s="195">
        <f>SUM(E260,E313,E320,E335,E338)</f>
        <v>12871</v>
      </c>
      <c r="F401" s="195"/>
      <c r="G401" s="195"/>
      <c r="H401" s="195"/>
    </row>
    <row r="402" spans="1:8" ht="15" hidden="1">
      <c r="A402" s="191"/>
      <c r="B402" s="191"/>
      <c r="C402" s="191"/>
      <c r="D402" s="191" t="s">
        <v>292</v>
      </c>
      <c r="E402" s="192"/>
      <c r="F402" s="192"/>
      <c r="G402" s="192"/>
      <c r="H402" s="192"/>
    </row>
    <row r="403" spans="1:8" ht="15" hidden="1">
      <c r="A403" s="191"/>
      <c r="B403" s="191"/>
      <c r="C403" s="191"/>
      <c r="D403" s="191" t="s">
        <v>291</v>
      </c>
      <c r="E403" s="192"/>
      <c r="F403" s="192"/>
      <c r="G403" s="192"/>
      <c r="H403" s="192"/>
    </row>
    <row r="404" spans="1:8" ht="15" hidden="1">
      <c r="A404" s="191"/>
      <c r="B404" s="191"/>
      <c r="C404" s="191"/>
      <c r="D404" s="191"/>
      <c r="E404" s="192"/>
      <c r="F404" s="192"/>
      <c r="G404" s="192"/>
      <c r="H404" s="192"/>
    </row>
    <row r="405" spans="1:8" ht="15" hidden="1">
      <c r="A405" s="191"/>
      <c r="B405" s="191"/>
      <c r="C405" s="191"/>
      <c r="D405" s="191" t="s">
        <v>293</v>
      </c>
      <c r="E405" s="192"/>
      <c r="F405" s="192"/>
      <c r="G405" s="192"/>
      <c r="H405" s="192"/>
    </row>
    <row r="406" spans="1:8" ht="15" hidden="1">
      <c r="A406" s="191"/>
      <c r="B406" s="191"/>
      <c r="C406" s="191"/>
      <c r="D406" s="191" t="s">
        <v>294</v>
      </c>
      <c r="E406" s="192"/>
      <c r="F406" s="192"/>
      <c r="G406" s="192"/>
      <c r="H406" s="192"/>
    </row>
    <row r="407" spans="1:8" ht="15" hidden="1">
      <c r="A407" s="191"/>
      <c r="B407" s="191"/>
      <c r="C407" s="191"/>
      <c r="D407" s="191" t="s">
        <v>295</v>
      </c>
      <c r="E407" s="192" t="e">
        <f>SUM(E9,E10,#REF!,#REF!,#REF!,E154,E184,E185,E186,E187,E188,#REF!,E211,E213,E258,E272,E273,E274,E275,E276,E277,#REF!,#REF!,E283,E285,E286,E287)</f>
        <v>#REF!</v>
      </c>
      <c r="F407" s="192"/>
      <c r="G407" s="192"/>
      <c r="H407" s="192"/>
    </row>
    <row r="408" spans="1:8" ht="15.75" hidden="1">
      <c r="A408" s="191"/>
      <c r="B408" s="191"/>
      <c r="C408" s="191"/>
      <c r="D408" s="196" t="s">
        <v>296</v>
      </c>
      <c r="E408" s="197">
        <v>0</v>
      </c>
      <c r="F408" s="197"/>
      <c r="G408" s="197"/>
      <c r="H408" s="197"/>
    </row>
    <row r="409" spans="1:8" ht="15" hidden="1">
      <c r="A409" s="191"/>
      <c r="B409" s="191"/>
      <c r="C409" s="191"/>
      <c r="D409" s="191"/>
      <c r="E409" s="192"/>
      <c r="F409" s="192"/>
      <c r="G409" s="192"/>
      <c r="H409" s="192"/>
    </row>
    <row r="410" spans="1:8" ht="15" hidden="1">
      <c r="A410" s="191"/>
      <c r="B410" s="191"/>
      <c r="C410" s="191"/>
      <c r="D410" s="191"/>
      <c r="E410" s="192"/>
      <c r="F410" s="192"/>
      <c r="G410" s="192"/>
      <c r="H410" s="192"/>
    </row>
    <row r="411" spans="1:8" ht="15">
      <c r="A411" s="191"/>
      <c r="B411" s="191"/>
      <c r="C411" s="191"/>
      <c r="D411" s="191"/>
      <c r="E411" s="192"/>
      <c r="F411" s="192"/>
      <c r="G411" s="192"/>
      <c r="H411" s="192"/>
    </row>
    <row r="412" spans="1:8" ht="15">
      <c r="A412" s="191"/>
      <c r="B412" s="191"/>
      <c r="C412" s="191"/>
      <c r="D412" s="191"/>
      <c r="E412" s="192"/>
      <c r="F412" s="192"/>
      <c r="G412" s="192"/>
      <c r="H412" s="192"/>
    </row>
    <row r="413" spans="1:8" ht="15.75" hidden="1">
      <c r="A413" s="191"/>
      <c r="B413" s="191"/>
      <c r="C413" s="191"/>
      <c r="D413" s="191" t="s">
        <v>292</v>
      </c>
      <c r="E413" s="197" t="e">
        <f>SUM(E9,E10,#REF!,#REF!,#REF!,E112,E154,E184,E185,E186,E187,E188,#REF!,E211,E212,E213,E257,E272,E273,E274,E275,E276,E277,#REF!,#REF!,E283,E285,E286,E287)</f>
        <v>#REF!</v>
      </c>
      <c r="F413" s="197" t="e">
        <f>SUM(F9,F10,#REF!,#REF!,#REF!,F112,F154,F184,F185,F186,F187,F188,#REF!,F211,F212,F213,F257,F272,F273,F274,F275,F276,F277,#REF!,#REF!,F283,F285,F286,F287)</f>
        <v>#REF!</v>
      </c>
      <c r="G413" s="197" t="e">
        <f>SUM(G9,G10,#REF!,#REF!,#REF!,G112,G154,G184,G185,G186,G187,G188,#REF!,G211,G212,G213,G257,G272,G273,G274,G275,G276,G277,#REF!,#REF!,G283,G285,G286,G287)</f>
        <v>#REF!</v>
      </c>
      <c r="H413" s="197" t="e">
        <f>SUM(H9,H10,#REF!,#REF!,#REF!,H112,H154,H184,H185,H186,H187,H188,#REF!,H211,H212,H213,H257,H272,H273,H274,H275,H276,H277,#REF!,#REF!,H283,H285,H286,H287)</f>
        <v>#REF!</v>
      </c>
    </row>
    <row r="414" spans="1:8" ht="15" hidden="1">
      <c r="A414" s="191"/>
      <c r="B414" s="191"/>
      <c r="C414" s="191"/>
      <c r="D414" s="191" t="s">
        <v>297</v>
      </c>
      <c r="E414" s="192">
        <f>SUM(E272,E273,E274,E275,E277)</f>
        <v>205700</v>
      </c>
      <c r="F414" s="192">
        <f>SUM(F272,F273,F274,F275,F277)</f>
        <v>205700</v>
      </c>
      <c r="G414" s="192">
        <f>SUM(G272,G273,G274,G275,G277)</f>
        <v>153502.2</v>
      </c>
      <c r="H414" s="192">
        <f>SUM(H272,H273,H274,H275,H277)</f>
        <v>354.6272731191768</v>
      </c>
    </row>
    <row r="415" spans="1:8" ht="15" hidden="1">
      <c r="A415" s="191"/>
      <c r="B415" s="191"/>
      <c r="C415" s="191"/>
      <c r="D415" s="191" t="s">
        <v>298</v>
      </c>
      <c r="E415" s="192" t="e">
        <f>SUM(E9,#REF!,#REF!,#REF!,#REF!,#REF!,E283)</f>
        <v>#REF!</v>
      </c>
      <c r="F415" s="192" t="e">
        <f>SUM(F9,#REF!,#REF!,#REF!,#REF!,#REF!,F283)</f>
        <v>#REF!</v>
      </c>
      <c r="G415" s="192" t="e">
        <f>SUM(G9,#REF!,#REF!,#REF!,#REF!,#REF!,G283)</f>
        <v>#REF!</v>
      </c>
      <c r="H415" s="192" t="e">
        <f>SUM(H9,#REF!,#REF!,#REF!,#REF!,#REF!,H283)</f>
        <v>#REF!</v>
      </c>
    </row>
    <row r="416" spans="1:8" ht="15" hidden="1">
      <c r="A416" s="191"/>
      <c r="B416" s="191"/>
      <c r="C416" s="191"/>
      <c r="D416" s="191" t="s">
        <v>299</v>
      </c>
      <c r="E416" s="192" t="e">
        <f>SUM(E10,E112,E154,E188,#REF!,E213,E257,E286)</f>
        <v>#REF!</v>
      </c>
      <c r="F416" s="192" t="e">
        <f>SUM(F10,F112,F154,F188,#REF!,F213,F257,F286)</f>
        <v>#REF!</v>
      </c>
      <c r="G416" s="192" t="e">
        <f>SUM(G10,G112,G154,G188,#REF!,G213,G257,G286)</f>
        <v>#REF!</v>
      </c>
      <c r="H416" s="192" t="e">
        <f>SUM(H10,H112,H154,H188,#REF!,H213,H257,H286)</f>
        <v>#REF!</v>
      </c>
    </row>
    <row r="417" spans="1:8" ht="15" hidden="1">
      <c r="A417" s="191"/>
      <c r="B417" s="191"/>
      <c r="C417" s="191"/>
      <c r="D417" s="191" t="s">
        <v>300</v>
      </c>
      <c r="E417" s="192"/>
      <c r="F417" s="192"/>
      <c r="G417" s="192"/>
      <c r="H417" s="192"/>
    </row>
    <row r="418" spans="1:8" ht="15" hidden="1">
      <c r="A418" s="191"/>
      <c r="B418" s="191"/>
      <c r="C418" s="191"/>
      <c r="D418" s="191" t="s">
        <v>301</v>
      </c>
      <c r="E418" s="192" t="e">
        <f>+E372-E413-E421-E422</f>
        <v>#REF!</v>
      </c>
      <c r="F418" s="192" t="e">
        <f>+F372-F413-F421-F422</f>
        <v>#REF!</v>
      </c>
      <c r="G418" s="192" t="e">
        <f>+G372-G413-G421-G422</f>
        <v>#REF!</v>
      </c>
      <c r="H418" s="192" t="e">
        <f>+H372-H413-H421-H422</f>
        <v>#REF!</v>
      </c>
    </row>
    <row r="419" spans="1:8" ht="15" hidden="1">
      <c r="A419" s="191"/>
      <c r="B419" s="191"/>
      <c r="C419" s="191"/>
      <c r="D419" s="191" t="s">
        <v>302</v>
      </c>
      <c r="E419" s="192" t="e">
        <f>SUM(E28,E40,E51,E53,#REF!,#REF!,#REF!,E129,#REF!,E133,E307,E315,E327,E330)</f>
        <v>#REF!</v>
      </c>
      <c r="F419" s="192" t="e">
        <f>SUM(F28,F40,F51,F53,#REF!,#REF!,#REF!,F129,#REF!,F133,F307,F315,F327,F330)</f>
        <v>#REF!</v>
      </c>
      <c r="G419" s="192" t="e">
        <f>SUM(G28,G40,G51,G53,#REF!,#REF!,#REF!,G129,#REF!,G133,G307,G315,G327,G330)</f>
        <v>#REF!</v>
      </c>
      <c r="H419" s="192" t="e">
        <f>SUM(H28,H40,H51,H53,#REF!,#REF!,#REF!,H129,#REF!,H133,H307,H315,H327,H330)</f>
        <v>#REF!</v>
      </c>
    </row>
    <row r="420" spans="1:8" ht="15" hidden="1">
      <c r="A420" s="191"/>
      <c r="B420" s="191"/>
      <c r="C420" s="191"/>
      <c r="D420" s="191" t="s">
        <v>303</v>
      </c>
      <c r="E420" s="192" t="e">
        <f>SUM(E99,#REF!,E170,E196,#REF!,E219,E235,E259)</f>
        <v>#REF!</v>
      </c>
      <c r="F420" s="192" t="e">
        <f>SUM(F99,#REF!,F170,F196,#REF!,F219,F235,F259)</f>
        <v>#REF!</v>
      </c>
      <c r="G420" s="192" t="e">
        <f>SUM(G99,#REF!,G170,G196,#REF!,G219,G235,G259)</f>
        <v>#REF!</v>
      </c>
      <c r="H420" s="192" t="e">
        <f>SUM(H99,#REF!,H170,H196,#REF!,H219,H235,H259)</f>
        <v>#REF!</v>
      </c>
    </row>
    <row r="421" spans="1:8" ht="15" hidden="1">
      <c r="A421" s="191"/>
      <c r="B421" s="191"/>
      <c r="C421" s="191"/>
      <c r="D421" s="191" t="s">
        <v>291</v>
      </c>
      <c r="E421" s="192" t="e">
        <f>SUM(#REF!,E260,E313,E320,E335,E338)</f>
        <v>#REF!</v>
      </c>
      <c r="F421" s="192" t="e">
        <f>SUM(#REF!,F260,F313,F320,F335,F338)</f>
        <v>#REF!</v>
      </c>
      <c r="G421" s="192" t="e">
        <f>SUM(#REF!,G260,G313,G320,G335,G338)</f>
        <v>#REF!</v>
      </c>
      <c r="H421" s="192" t="e">
        <f>SUM(#REF!,H260,H313,H320,H335,H338)</f>
        <v>#REF!</v>
      </c>
    </row>
    <row r="422" spans="1:8" ht="15" hidden="1">
      <c r="A422" s="191"/>
      <c r="B422" s="191"/>
      <c r="C422" s="191"/>
      <c r="D422" s="191" t="s">
        <v>293</v>
      </c>
      <c r="E422" s="192" t="e">
        <f>SUM(E11,E14,E18,E81,#REF!,#REF!,#REF!,#REF!,E101,#REF!,#REF!,#REF!,#REF!,#REF!,#REF!,#REF!,E119,#REF!,E120,#REF!,E121,E123,#REF!,#REF!,#REF!,E190,E233,E258,E289)</f>
        <v>#REF!</v>
      </c>
      <c r="F422" s="192" t="e">
        <f>SUM(F11,F14,F18,F81,#REF!,#REF!,#REF!,#REF!,F101,#REF!,#REF!,#REF!,#REF!,#REF!,#REF!,#REF!,F119,#REF!,F120,#REF!,F121,F123,#REF!,#REF!,#REF!,F190,F233,F258,F289)</f>
        <v>#REF!</v>
      </c>
      <c r="G422" s="192" t="e">
        <f>SUM(G11,G14,G18,G81,#REF!,#REF!,#REF!,#REF!,G101,#REF!,#REF!,#REF!,#REF!,#REF!,#REF!,#REF!,G119,#REF!,G120,#REF!,G121,G123,#REF!,#REF!,#REF!,G190,G233,G258,G289)</f>
        <v>#REF!</v>
      </c>
      <c r="H422" s="192" t="e">
        <f>SUM(H11,H14,H18,H81,#REF!,#REF!,#REF!,#REF!,H101,#REF!,#REF!,#REF!,#REF!,#REF!,#REF!,#REF!,H119,#REF!,H120,#REF!,H121,H123,#REF!,#REF!,#REF!,H190,H233,H258,H289)</f>
        <v>#REF!</v>
      </c>
    </row>
    <row r="423" spans="1:8" ht="15" hidden="1">
      <c r="A423" s="191"/>
      <c r="B423" s="191"/>
      <c r="C423" s="191"/>
      <c r="D423" s="191"/>
      <c r="E423" s="192"/>
      <c r="F423" s="192"/>
      <c r="G423" s="192"/>
      <c r="H423" s="192"/>
    </row>
    <row r="424" spans="1:8" ht="15" hidden="1">
      <c r="A424" s="191"/>
      <c r="B424" s="191"/>
      <c r="C424" s="191"/>
      <c r="D424" s="191"/>
      <c r="E424" s="192"/>
      <c r="F424" s="192"/>
      <c r="G424" s="192"/>
      <c r="H424" s="192"/>
    </row>
    <row r="425" spans="1:8" ht="15" hidden="1">
      <c r="A425" s="191"/>
      <c r="B425" s="191"/>
      <c r="C425" s="191"/>
      <c r="D425" s="191"/>
      <c r="E425" s="192">
        <f>SUM(E310,E313,E320,E335,E338)</f>
        <v>12871</v>
      </c>
      <c r="F425" s="192">
        <f>SUM(F310,F313,F320,F335,F338)</f>
        <v>12871</v>
      </c>
      <c r="G425" s="192">
        <f>SUM(G310,G313,G320,G335,G338)</f>
        <v>4629.6</v>
      </c>
      <c r="H425" s="192" t="e">
        <f>SUM(H310,H313,H320,H335,H338)</f>
        <v>#DIV/0!</v>
      </c>
    </row>
    <row r="426" spans="1:8" ht="15" hidden="1">
      <c r="A426" s="191"/>
      <c r="B426" s="191"/>
      <c r="C426" s="191"/>
      <c r="D426" s="191"/>
      <c r="E426" s="192" t="e">
        <f>SUM(#REF!,#REF!,E101,#REF!,#REF!,#REF!,#REF!,#REF!,#REF!,E258)</f>
        <v>#REF!</v>
      </c>
      <c r="F426" s="192" t="e">
        <f>SUM(#REF!,#REF!,F101,#REF!,#REF!,#REF!,#REF!,#REF!,#REF!,F258)</f>
        <v>#REF!</v>
      </c>
      <c r="G426" s="192" t="e">
        <f>SUM(#REF!,#REF!,G101,#REF!,#REF!,#REF!,#REF!,#REF!,#REF!,G258)</f>
        <v>#REF!</v>
      </c>
      <c r="H426" s="192" t="e">
        <f>SUM(#REF!,#REF!,H101,#REF!,#REF!,#REF!,#REF!,#REF!,#REF!,H258)</f>
        <v>#REF!</v>
      </c>
    </row>
    <row r="427" spans="1:8" ht="15" hidden="1">
      <c r="A427" s="191"/>
      <c r="B427" s="191"/>
      <c r="C427" s="191"/>
      <c r="D427" s="191"/>
      <c r="E427" s="192"/>
      <c r="F427" s="192"/>
      <c r="G427" s="192"/>
      <c r="H427" s="192"/>
    </row>
    <row r="428" spans="1:8" ht="15" hidden="1">
      <c r="A428" s="191"/>
      <c r="B428" s="191"/>
      <c r="C428" s="191"/>
      <c r="D428" s="191"/>
      <c r="E428" s="192" t="e">
        <f>SUM(E425:E427)</f>
        <v>#REF!</v>
      </c>
      <c r="F428" s="192" t="e">
        <f>SUM(F425:F427)</f>
        <v>#REF!</v>
      </c>
      <c r="G428" s="192" t="e">
        <f>SUM(G425:G427)</f>
        <v>#REF!</v>
      </c>
      <c r="H428" s="192" t="e">
        <f>SUM(H425:H427)</f>
        <v>#DIV/0!</v>
      </c>
    </row>
    <row r="429" spans="1:8" ht="15">
      <c r="A429" s="191"/>
      <c r="B429" s="191"/>
      <c r="C429" s="191"/>
      <c r="D429" s="191"/>
      <c r="E429" s="192"/>
      <c r="F429" s="192"/>
      <c r="G429" s="192"/>
      <c r="H429" s="192"/>
    </row>
    <row r="430" spans="1:8" ht="15">
      <c r="A430" s="191"/>
      <c r="B430" s="191"/>
      <c r="C430" s="191"/>
      <c r="D430" s="191"/>
      <c r="E430" s="192"/>
      <c r="F430" s="192"/>
      <c r="G430" s="192"/>
      <c r="H430" s="192"/>
    </row>
    <row r="431" spans="1:8" ht="15">
      <c r="A431" s="191"/>
      <c r="B431" s="191"/>
      <c r="C431" s="191"/>
      <c r="D431" s="191"/>
      <c r="E431" s="192"/>
      <c r="F431" s="192"/>
      <c r="G431" s="192"/>
      <c r="H431" s="192"/>
    </row>
    <row r="432" spans="1:8" ht="15">
      <c r="A432" s="191"/>
      <c r="B432" s="191"/>
      <c r="C432" s="191"/>
      <c r="D432" s="191"/>
      <c r="E432" s="192"/>
      <c r="F432" s="192"/>
      <c r="G432" s="192"/>
      <c r="H432" s="192"/>
    </row>
    <row r="433" spans="1:8" ht="15">
      <c r="A433" s="191"/>
      <c r="B433" s="191"/>
      <c r="C433" s="191"/>
      <c r="D433" s="191"/>
      <c r="E433" s="192"/>
      <c r="F433" s="192"/>
      <c r="G433" s="192"/>
      <c r="H433" s="192"/>
    </row>
    <row r="434" spans="1:8" ht="15">
      <c r="A434" s="191"/>
      <c r="B434" s="191"/>
      <c r="C434" s="191"/>
      <c r="D434" s="191"/>
      <c r="E434" s="192"/>
      <c r="F434" s="192"/>
      <c r="G434" s="192"/>
      <c r="H434" s="192"/>
    </row>
    <row r="435" spans="1:8" ht="15">
      <c r="A435" s="191"/>
      <c r="B435" s="191"/>
      <c r="C435" s="191"/>
      <c r="D435" s="191"/>
      <c r="E435" s="192"/>
      <c r="F435" s="192"/>
      <c r="G435" s="192"/>
      <c r="H435" s="192"/>
    </row>
    <row r="436" spans="1:8" ht="15">
      <c r="A436" s="191"/>
      <c r="B436" s="191"/>
      <c r="C436" s="191"/>
      <c r="D436" s="191"/>
      <c r="E436" s="192"/>
      <c r="F436" s="192"/>
      <c r="G436" s="192"/>
      <c r="H436" s="192"/>
    </row>
    <row r="437" spans="1:8" ht="15">
      <c r="A437" s="191"/>
      <c r="B437" s="191"/>
      <c r="C437" s="191"/>
      <c r="D437" s="191"/>
      <c r="E437" s="192"/>
      <c r="F437" s="192"/>
      <c r="G437" s="192"/>
      <c r="H437" s="192"/>
    </row>
    <row r="438" spans="1:8" ht="15">
      <c r="A438" s="191"/>
      <c r="B438" s="191"/>
      <c r="C438" s="191"/>
      <c r="D438" s="191"/>
      <c r="E438" s="192"/>
      <c r="F438" s="192"/>
      <c r="G438" s="192"/>
      <c r="H438" s="192"/>
    </row>
    <row r="439" spans="1:8" ht="15">
      <c r="A439" s="191"/>
      <c r="B439" s="191"/>
      <c r="C439" s="191"/>
      <c r="D439" s="191"/>
      <c r="E439" s="192"/>
      <c r="F439" s="192"/>
      <c r="G439" s="192"/>
      <c r="H439" s="192"/>
    </row>
    <row r="440" spans="1:8" ht="15">
      <c r="A440" s="191"/>
      <c r="B440" s="191"/>
      <c r="C440" s="191"/>
      <c r="D440" s="191"/>
      <c r="E440" s="192"/>
      <c r="F440" s="192"/>
      <c r="G440" s="192"/>
      <c r="H440" s="192"/>
    </row>
    <row r="441" spans="1:8" ht="15">
      <c r="A441" s="191"/>
      <c r="B441" s="191"/>
      <c r="C441" s="191"/>
      <c r="D441" s="191"/>
      <c r="E441" s="192"/>
      <c r="F441" s="192"/>
      <c r="G441" s="192"/>
      <c r="H441" s="192"/>
    </row>
    <row r="442" spans="1:8" ht="15">
      <c r="A442" s="191"/>
      <c r="B442" s="191"/>
      <c r="C442" s="191"/>
      <c r="D442" s="191"/>
      <c r="E442" s="192"/>
      <c r="F442" s="192"/>
      <c r="G442" s="192"/>
      <c r="H442" s="192"/>
    </row>
    <row r="443" spans="1:8" ht="15">
      <c r="A443" s="191"/>
      <c r="B443" s="191"/>
      <c r="C443" s="191"/>
      <c r="D443" s="191"/>
      <c r="E443" s="192"/>
      <c r="F443" s="192"/>
      <c r="G443" s="192"/>
      <c r="H443" s="192"/>
    </row>
    <row r="444" spans="1:8" ht="15">
      <c r="A444" s="191"/>
      <c r="B444" s="191"/>
      <c r="C444" s="191"/>
      <c r="D444" s="191"/>
      <c r="E444" s="192"/>
      <c r="F444" s="192"/>
      <c r="G444" s="192"/>
      <c r="H444" s="192"/>
    </row>
    <row r="445" spans="1:8" ht="15">
      <c r="A445" s="191"/>
      <c r="B445" s="191"/>
      <c r="C445" s="191"/>
      <c r="D445" s="191"/>
      <c r="E445" s="192"/>
      <c r="F445" s="192"/>
      <c r="G445" s="192"/>
      <c r="H445" s="192"/>
    </row>
    <row r="446" spans="1:8" ht="15">
      <c r="A446" s="191"/>
      <c r="B446" s="191"/>
      <c r="C446" s="191"/>
      <c r="D446" s="191"/>
      <c r="E446" s="192"/>
      <c r="F446" s="192"/>
      <c r="G446" s="192"/>
      <c r="H446" s="192"/>
    </row>
    <row r="447" spans="1:8" ht="15">
      <c r="A447" s="191"/>
      <c r="B447" s="191"/>
      <c r="C447" s="191"/>
      <c r="D447" s="191"/>
      <c r="E447" s="192"/>
      <c r="F447" s="192"/>
      <c r="G447" s="192"/>
      <c r="H447" s="192"/>
    </row>
    <row r="448" spans="1:8" ht="15">
      <c r="A448" s="191"/>
      <c r="B448" s="191"/>
      <c r="C448" s="191"/>
      <c r="D448" s="191"/>
      <c r="E448" s="192"/>
      <c r="F448" s="192"/>
      <c r="G448" s="192"/>
      <c r="H448" s="192"/>
    </row>
    <row r="449" spans="1:8" ht="15">
      <c r="A449" s="191"/>
      <c r="B449" s="191"/>
      <c r="C449" s="191"/>
      <c r="D449" s="191"/>
      <c r="E449" s="192"/>
      <c r="F449" s="192"/>
      <c r="G449" s="192"/>
      <c r="H449" s="192"/>
    </row>
    <row r="450" spans="1:8" ht="15">
      <c r="A450" s="191"/>
      <c r="B450" s="191"/>
      <c r="C450" s="191"/>
      <c r="D450" s="191"/>
      <c r="E450" s="192"/>
      <c r="F450" s="192"/>
      <c r="G450" s="192"/>
      <c r="H450" s="192"/>
    </row>
    <row r="451" spans="1:8" ht="15">
      <c r="A451" s="191"/>
      <c r="B451" s="191"/>
      <c r="C451" s="191"/>
      <c r="D451" s="191"/>
      <c r="E451" s="192"/>
      <c r="F451" s="192"/>
      <c r="G451" s="192"/>
      <c r="H451" s="192"/>
    </row>
    <row r="452" spans="1:8" ht="15">
      <c r="A452" s="191"/>
      <c r="B452" s="191"/>
      <c r="C452" s="191"/>
      <c r="D452" s="191"/>
      <c r="E452" s="192"/>
      <c r="F452" s="192"/>
      <c r="G452" s="192"/>
      <c r="H452" s="192"/>
    </row>
    <row r="453" spans="1:8" ht="15">
      <c r="A453" s="191"/>
      <c r="B453" s="191"/>
      <c r="C453" s="191"/>
      <c r="D453" s="191"/>
      <c r="E453" s="192"/>
      <c r="F453" s="192"/>
      <c r="G453" s="192"/>
      <c r="H453" s="192"/>
    </row>
    <row r="454" spans="1:8" ht="15">
      <c r="A454" s="191"/>
      <c r="B454" s="191"/>
      <c r="C454" s="191"/>
      <c r="D454" s="191"/>
      <c r="E454" s="192"/>
      <c r="F454" s="192"/>
      <c r="G454" s="192"/>
      <c r="H454" s="192"/>
    </row>
    <row r="455" spans="1:8" ht="15">
      <c r="A455" s="191"/>
      <c r="B455" s="191"/>
      <c r="C455" s="191"/>
      <c r="D455" s="191"/>
      <c r="E455" s="192"/>
      <c r="F455" s="192"/>
      <c r="G455" s="192"/>
      <c r="H455" s="192"/>
    </row>
    <row r="456" spans="1:8" ht="15">
      <c r="A456" s="191"/>
      <c r="B456" s="191"/>
      <c r="C456" s="191"/>
      <c r="D456" s="191"/>
      <c r="E456" s="192"/>
      <c r="F456" s="192"/>
      <c r="G456" s="192"/>
      <c r="H456" s="192"/>
    </row>
    <row r="457" spans="1:8" ht="15">
      <c r="A457" s="191"/>
      <c r="B457" s="191"/>
      <c r="C457" s="191"/>
      <c r="D457" s="191"/>
      <c r="E457" s="192"/>
      <c r="F457" s="192"/>
      <c r="G457" s="192"/>
      <c r="H457" s="192"/>
    </row>
    <row r="458" spans="1:8" ht="15">
      <c r="A458" s="191"/>
      <c r="B458" s="191"/>
      <c r="C458" s="191"/>
      <c r="D458" s="191"/>
      <c r="E458" s="192"/>
      <c r="F458" s="192"/>
      <c r="G458" s="192"/>
      <c r="H458" s="192"/>
    </row>
    <row r="459" spans="1:8" ht="15">
      <c r="A459" s="191"/>
      <c r="B459" s="191"/>
      <c r="C459" s="191"/>
      <c r="D459" s="191"/>
      <c r="E459" s="192"/>
      <c r="F459" s="192"/>
      <c r="G459" s="192"/>
      <c r="H459" s="192"/>
    </row>
    <row r="460" spans="1:8" ht="15">
      <c r="A460" s="191"/>
      <c r="B460" s="191"/>
      <c r="C460" s="191"/>
      <c r="D460" s="191"/>
      <c r="E460" s="192"/>
      <c r="F460" s="192"/>
      <c r="G460" s="192"/>
      <c r="H460" s="192"/>
    </row>
    <row r="461" spans="1:8" ht="15">
      <c r="A461" s="191"/>
      <c r="B461" s="191"/>
      <c r="C461" s="191"/>
      <c r="D461" s="191"/>
      <c r="E461" s="192"/>
      <c r="F461" s="192"/>
      <c r="G461" s="192"/>
      <c r="H461" s="192"/>
    </row>
    <row r="462" spans="1:8" ht="15">
      <c r="A462" s="191"/>
      <c r="B462" s="191"/>
      <c r="C462" s="191"/>
      <c r="D462" s="191"/>
      <c r="E462" s="192"/>
      <c r="F462" s="192"/>
      <c r="G462" s="192"/>
      <c r="H462" s="192"/>
    </row>
    <row r="463" spans="1:8" ht="15">
      <c r="A463" s="191"/>
      <c r="B463" s="191"/>
      <c r="C463" s="191"/>
      <c r="D463" s="191"/>
      <c r="E463" s="192"/>
      <c r="F463" s="192"/>
      <c r="G463" s="192"/>
      <c r="H463" s="192"/>
    </row>
    <row r="464" spans="1:8" ht="15">
      <c r="A464" s="191"/>
      <c r="B464" s="191"/>
      <c r="C464" s="191"/>
      <c r="D464" s="191"/>
      <c r="E464" s="192"/>
      <c r="F464" s="192"/>
      <c r="G464" s="192"/>
      <c r="H464" s="192"/>
    </row>
  </sheetData>
  <sheetProtection/>
  <mergeCells count="2">
    <mergeCell ref="A1:C1"/>
    <mergeCell ref="A3:E3"/>
  </mergeCells>
  <printOptions/>
  <pageMargins left="1.0236220472440944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5"/>
  <sheetViews>
    <sheetView zoomScale="80" zoomScaleNormal="80" zoomScaleSheetLayoutView="100" zoomScalePageLayoutView="0" workbookViewId="0" topLeftCell="A291">
      <selection activeCell="K137" sqref="K137"/>
    </sheetView>
  </sheetViews>
  <sheetFormatPr defaultColWidth="9.140625" defaultRowHeight="12.75"/>
  <cols>
    <col min="1" max="1" width="13.7109375" style="201" customWidth="1"/>
    <col min="2" max="2" width="10.8515625" style="201" bestFit="1" customWidth="1"/>
    <col min="3" max="3" width="79.7109375" style="201" customWidth="1"/>
    <col min="4" max="4" width="15.7109375" style="201" customWidth="1"/>
    <col min="5" max="6" width="15.8515625" style="201" customWidth="1"/>
    <col min="7" max="7" width="13.28125" style="201" customWidth="1"/>
    <col min="8" max="16384" width="9.140625" style="201" customWidth="1"/>
  </cols>
  <sheetData>
    <row r="1" spans="1:7" ht="21" customHeight="1">
      <c r="A1" s="50" t="s">
        <v>304</v>
      </c>
      <c r="B1" s="51"/>
      <c r="C1" s="198"/>
      <c r="D1" s="199"/>
      <c r="E1" s="200"/>
      <c r="F1" s="200"/>
      <c r="G1" s="200"/>
    </row>
    <row r="2" spans="1:6" ht="15.75" customHeight="1">
      <c r="A2" s="50"/>
      <c r="B2" s="51"/>
      <c r="C2" s="202"/>
      <c r="E2" s="203"/>
      <c r="F2" s="203"/>
    </row>
    <row r="3" spans="1:7" s="208" customFormat="1" ht="24" customHeight="1">
      <c r="A3" s="204" t="s">
        <v>305</v>
      </c>
      <c r="B3" s="204"/>
      <c r="C3" s="204"/>
      <c r="D3" s="205"/>
      <c r="E3" s="206"/>
      <c r="F3" s="207"/>
      <c r="G3" s="207"/>
    </row>
    <row r="4" spans="4:7" s="191" customFormat="1" ht="15.75" customHeight="1" thickBot="1">
      <c r="D4" s="209"/>
      <c r="E4" s="210"/>
      <c r="F4" s="207" t="s">
        <v>4</v>
      </c>
      <c r="G4" s="209"/>
    </row>
    <row r="5" spans="1:7" s="191" customFormat="1" ht="15.75" customHeight="1">
      <c r="A5" s="211" t="s">
        <v>25</v>
      </c>
      <c r="B5" s="212" t="s">
        <v>26</v>
      </c>
      <c r="C5" s="211" t="s">
        <v>28</v>
      </c>
      <c r="D5" s="211" t="s">
        <v>29</v>
      </c>
      <c r="E5" s="211" t="s">
        <v>29</v>
      </c>
      <c r="F5" s="59" t="s">
        <v>8</v>
      </c>
      <c r="G5" s="211" t="s">
        <v>306</v>
      </c>
    </row>
    <row r="6" spans="1:7" s="191" customFormat="1" ht="15.75" customHeight="1" thickBot="1">
      <c r="A6" s="213"/>
      <c r="B6" s="214"/>
      <c r="C6" s="215"/>
      <c r="D6" s="216" t="s">
        <v>31</v>
      </c>
      <c r="E6" s="216" t="s">
        <v>32</v>
      </c>
      <c r="F6" s="63" t="s">
        <v>33</v>
      </c>
      <c r="G6" s="216" t="s">
        <v>307</v>
      </c>
    </row>
    <row r="7" spans="1:7" s="191" customFormat="1" ht="16.5" customHeight="1" thickTop="1">
      <c r="A7" s="217">
        <v>10</v>
      </c>
      <c r="B7" s="218"/>
      <c r="C7" s="219" t="s">
        <v>308</v>
      </c>
      <c r="D7" s="220"/>
      <c r="E7" s="221"/>
      <c r="F7" s="222"/>
      <c r="G7" s="220"/>
    </row>
    <row r="8" spans="1:7" s="191" customFormat="1" ht="15" customHeight="1">
      <c r="A8" s="145"/>
      <c r="B8" s="223"/>
      <c r="C8" s="145"/>
      <c r="D8" s="149"/>
      <c r="E8" s="150"/>
      <c r="F8" s="148"/>
      <c r="G8" s="149"/>
    </row>
    <row r="9" spans="1:7" s="191" customFormat="1" ht="15" customHeight="1">
      <c r="A9" s="145"/>
      <c r="B9" s="224">
        <v>2143</v>
      </c>
      <c r="C9" s="93" t="s">
        <v>309</v>
      </c>
      <c r="D9" s="149">
        <v>4000</v>
      </c>
      <c r="E9" s="150">
        <v>4031</v>
      </c>
      <c r="F9" s="148">
        <v>1909.4</v>
      </c>
      <c r="G9" s="149">
        <f>(F9/E9)*100</f>
        <v>47.367898784420746</v>
      </c>
    </row>
    <row r="10" spans="1:7" s="191" customFormat="1" ht="15">
      <c r="A10" s="93"/>
      <c r="B10" s="224">
        <v>3111</v>
      </c>
      <c r="C10" s="93" t="s">
        <v>310</v>
      </c>
      <c r="D10" s="225">
        <v>8600</v>
      </c>
      <c r="E10" s="226">
        <v>8631.2</v>
      </c>
      <c r="F10" s="227">
        <v>5759.1</v>
      </c>
      <c r="G10" s="149">
        <f aca="true" t="shared" si="0" ref="G10:G32">(F10/E10)*100</f>
        <v>66.72420984335898</v>
      </c>
    </row>
    <row r="11" spans="1:7" s="191" customFormat="1" ht="15">
      <c r="A11" s="93"/>
      <c r="B11" s="224">
        <v>3113</v>
      </c>
      <c r="C11" s="93" t="s">
        <v>311</v>
      </c>
      <c r="D11" s="225">
        <v>30300</v>
      </c>
      <c r="E11" s="226">
        <v>32411.1</v>
      </c>
      <c r="F11" s="227">
        <v>22314.7</v>
      </c>
      <c r="G11" s="149">
        <f t="shared" si="0"/>
        <v>68.84894372606915</v>
      </c>
    </row>
    <row r="12" spans="1:7" s="191" customFormat="1" ht="15" hidden="1">
      <c r="A12" s="93"/>
      <c r="B12" s="224">
        <v>3114</v>
      </c>
      <c r="C12" s="93" t="s">
        <v>312</v>
      </c>
      <c r="D12" s="225"/>
      <c r="E12" s="226"/>
      <c r="F12" s="227"/>
      <c r="G12" s="149" t="e">
        <f t="shared" si="0"/>
        <v>#DIV/0!</v>
      </c>
    </row>
    <row r="13" spans="1:7" s="191" customFormat="1" ht="15">
      <c r="A13" s="93"/>
      <c r="B13" s="224">
        <v>3122</v>
      </c>
      <c r="C13" s="93" t="s">
        <v>313</v>
      </c>
      <c r="D13" s="225">
        <v>350</v>
      </c>
      <c r="E13" s="226">
        <v>350</v>
      </c>
      <c r="F13" s="227">
        <v>350</v>
      </c>
      <c r="G13" s="149">
        <f t="shared" si="0"/>
        <v>100</v>
      </c>
    </row>
    <row r="14" spans="1:7" s="191" customFormat="1" ht="15">
      <c r="A14" s="93"/>
      <c r="B14" s="224">
        <v>3231</v>
      </c>
      <c r="C14" s="93" t="s">
        <v>314</v>
      </c>
      <c r="D14" s="225">
        <v>780</v>
      </c>
      <c r="E14" s="226">
        <v>505</v>
      </c>
      <c r="F14" s="227">
        <v>454</v>
      </c>
      <c r="G14" s="149">
        <f t="shared" si="0"/>
        <v>89.9009900990099</v>
      </c>
    </row>
    <row r="15" spans="1:7" s="191" customFormat="1" ht="15">
      <c r="A15" s="93"/>
      <c r="B15" s="224">
        <v>3313</v>
      </c>
      <c r="C15" s="93" t="s">
        <v>315</v>
      </c>
      <c r="D15" s="149">
        <v>1460</v>
      </c>
      <c r="E15" s="150">
        <v>1464</v>
      </c>
      <c r="F15" s="148">
        <v>1053.2</v>
      </c>
      <c r="G15" s="149">
        <f t="shared" si="0"/>
        <v>71.93989071038251</v>
      </c>
    </row>
    <row r="16" spans="1:7" s="191" customFormat="1" ht="15" customHeight="1" hidden="1">
      <c r="A16" s="93"/>
      <c r="B16" s="224">
        <v>3314</v>
      </c>
      <c r="C16" s="93" t="s">
        <v>316</v>
      </c>
      <c r="D16" s="149"/>
      <c r="E16" s="150"/>
      <c r="F16" s="148"/>
      <c r="G16" s="149" t="e">
        <f t="shared" si="0"/>
        <v>#DIV/0!</v>
      </c>
    </row>
    <row r="17" spans="1:7" s="191" customFormat="1" ht="15">
      <c r="A17" s="93"/>
      <c r="B17" s="224">
        <v>3314</v>
      </c>
      <c r="C17" s="93" t="s">
        <v>317</v>
      </c>
      <c r="D17" s="149">
        <v>7040</v>
      </c>
      <c r="E17" s="150">
        <v>7077</v>
      </c>
      <c r="F17" s="148">
        <v>4725</v>
      </c>
      <c r="G17" s="149">
        <f t="shared" si="0"/>
        <v>66.76557863501483</v>
      </c>
    </row>
    <row r="18" spans="1:7" s="191" customFormat="1" ht="13.5" customHeight="1" hidden="1">
      <c r="A18" s="93"/>
      <c r="B18" s="224">
        <v>3315</v>
      </c>
      <c r="C18" s="93" t="s">
        <v>318</v>
      </c>
      <c r="D18" s="149"/>
      <c r="E18" s="150"/>
      <c r="F18" s="148"/>
      <c r="G18" s="149" t="e">
        <f t="shared" si="0"/>
        <v>#DIV/0!</v>
      </c>
    </row>
    <row r="19" spans="1:7" s="191" customFormat="1" ht="15">
      <c r="A19" s="93"/>
      <c r="B19" s="224">
        <v>3315</v>
      </c>
      <c r="C19" s="93" t="s">
        <v>319</v>
      </c>
      <c r="D19" s="149">
        <v>6850</v>
      </c>
      <c r="E19" s="150">
        <v>7023</v>
      </c>
      <c r="F19" s="148">
        <v>4733</v>
      </c>
      <c r="G19" s="149">
        <f t="shared" si="0"/>
        <v>67.39285205752527</v>
      </c>
    </row>
    <row r="20" spans="1:7" s="191" customFormat="1" ht="15">
      <c r="A20" s="93"/>
      <c r="B20" s="224">
        <v>3319</v>
      </c>
      <c r="C20" s="93" t="s">
        <v>320</v>
      </c>
      <c r="D20" s="149">
        <v>620</v>
      </c>
      <c r="E20" s="150">
        <v>645</v>
      </c>
      <c r="F20" s="148">
        <v>377</v>
      </c>
      <c r="G20" s="149">
        <f t="shared" si="0"/>
        <v>58.44961240310077</v>
      </c>
    </row>
    <row r="21" spans="1:7" s="191" customFormat="1" ht="15">
      <c r="A21" s="93"/>
      <c r="B21" s="224">
        <v>3322</v>
      </c>
      <c r="C21" s="93" t="s">
        <v>321</v>
      </c>
      <c r="D21" s="149">
        <v>50</v>
      </c>
      <c r="E21" s="150">
        <v>50</v>
      </c>
      <c r="F21" s="148">
        <v>0</v>
      </c>
      <c r="G21" s="149">
        <f t="shared" si="0"/>
        <v>0</v>
      </c>
    </row>
    <row r="22" spans="1:7" s="191" customFormat="1" ht="15">
      <c r="A22" s="93"/>
      <c r="B22" s="224">
        <v>3326</v>
      </c>
      <c r="C22" s="93" t="s">
        <v>322</v>
      </c>
      <c r="D22" s="149">
        <v>60</v>
      </c>
      <c r="E22" s="150">
        <v>30</v>
      </c>
      <c r="F22" s="148">
        <v>0</v>
      </c>
      <c r="G22" s="149">
        <f t="shared" si="0"/>
        <v>0</v>
      </c>
    </row>
    <row r="23" spans="1:7" s="191" customFormat="1" ht="15">
      <c r="A23" s="93"/>
      <c r="B23" s="224">
        <v>3330</v>
      </c>
      <c r="C23" s="93" t="s">
        <v>323</v>
      </c>
      <c r="D23" s="149">
        <v>50</v>
      </c>
      <c r="E23" s="150">
        <v>85</v>
      </c>
      <c r="F23" s="148">
        <v>45</v>
      </c>
      <c r="G23" s="149">
        <f t="shared" si="0"/>
        <v>52.94117647058824</v>
      </c>
    </row>
    <row r="24" spans="1:7" s="191" customFormat="1" ht="15">
      <c r="A24" s="93"/>
      <c r="B24" s="224">
        <v>3392</v>
      </c>
      <c r="C24" s="93" t="s">
        <v>324</v>
      </c>
      <c r="D24" s="149">
        <v>800</v>
      </c>
      <c r="E24" s="150">
        <v>822.3</v>
      </c>
      <c r="F24" s="148">
        <v>600</v>
      </c>
      <c r="G24" s="149">
        <f t="shared" si="0"/>
        <v>72.96607077708866</v>
      </c>
    </row>
    <row r="25" spans="1:7" s="191" customFormat="1" ht="15">
      <c r="A25" s="93"/>
      <c r="B25" s="224">
        <v>3399</v>
      </c>
      <c r="C25" s="93" t="s">
        <v>325</v>
      </c>
      <c r="D25" s="149">
        <v>2700</v>
      </c>
      <c r="E25" s="150">
        <v>2583.8</v>
      </c>
      <c r="F25" s="148">
        <v>1128</v>
      </c>
      <c r="G25" s="149">
        <f t="shared" si="0"/>
        <v>43.65662977010604</v>
      </c>
    </row>
    <row r="26" spans="1:7" s="191" customFormat="1" ht="15">
      <c r="A26" s="93"/>
      <c r="B26" s="224">
        <v>3412</v>
      </c>
      <c r="C26" s="93" t="s">
        <v>326</v>
      </c>
      <c r="D26" s="149">
        <v>13438</v>
      </c>
      <c r="E26" s="150">
        <v>13845.4</v>
      </c>
      <c r="F26" s="148">
        <v>10464.4</v>
      </c>
      <c r="G26" s="149">
        <f t="shared" si="0"/>
        <v>75.58033715168936</v>
      </c>
    </row>
    <row r="27" spans="1:7" s="191" customFormat="1" ht="15">
      <c r="A27" s="93"/>
      <c r="B27" s="224">
        <v>3412</v>
      </c>
      <c r="C27" s="93" t="s">
        <v>327</v>
      </c>
      <c r="D27" s="149">
        <f>20284-13438</f>
        <v>6846</v>
      </c>
      <c r="E27" s="150">
        <f>20078.4-13845.4</f>
        <v>6233.000000000002</v>
      </c>
      <c r="F27" s="148">
        <f>14715-10464.4</f>
        <v>4250.6</v>
      </c>
      <c r="G27" s="149">
        <f t="shared" si="0"/>
        <v>68.19509064655863</v>
      </c>
    </row>
    <row r="28" spans="1:7" s="191" customFormat="1" ht="15">
      <c r="A28" s="93"/>
      <c r="B28" s="224">
        <v>3419</v>
      </c>
      <c r="C28" s="93" t="s">
        <v>328</v>
      </c>
      <c r="D28" s="225">
        <v>2050</v>
      </c>
      <c r="E28" s="226">
        <v>2823</v>
      </c>
      <c r="F28" s="227">
        <v>2772.1</v>
      </c>
      <c r="G28" s="149">
        <f t="shared" si="0"/>
        <v>98.19695359546581</v>
      </c>
    </row>
    <row r="29" spans="1:7" s="191" customFormat="1" ht="15">
      <c r="A29" s="93"/>
      <c r="B29" s="224">
        <v>3421</v>
      </c>
      <c r="C29" s="93" t="s">
        <v>329</v>
      </c>
      <c r="D29" s="225">
        <v>3116</v>
      </c>
      <c r="E29" s="226">
        <v>2952.6</v>
      </c>
      <c r="F29" s="227">
        <v>2845.7</v>
      </c>
      <c r="G29" s="149">
        <f t="shared" si="0"/>
        <v>96.37946216893585</v>
      </c>
    </row>
    <row r="30" spans="1:7" s="191" customFormat="1" ht="15">
      <c r="A30" s="93"/>
      <c r="B30" s="224">
        <v>3429</v>
      </c>
      <c r="C30" s="93" t="s">
        <v>330</v>
      </c>
      <c r="D30" s="225">
        <v>1500</v>
      </c>
      <c r="E30" s="226">
        <v>1547</v>
      </c>
      <c r="F30" s="227">
        <v>1278.3</v>
      </c>
      <c r="G30" s="149">
        <f t="shared" si="0"/>
        <v>82.63089851325145</v>
      </c>
    </row>
    <row r="31" spans="1:7" s="191" customFormat="1" ht="15">
      <c r="A31" s="93"/>
      <c r="B31" s="224">
        <v>6223</v>
      </c>
      <c r="C31" s="93" t="s">
        <v>331</v>
      </c>
      <c r="D31" s="149">
        <v>150</v>
      </c>
      <c r="E31" s="150">
        <v>127.7</v>
      </c>
      <c r="F31" s="148">
        <v>26.5</v>
      </c>
      <c r="G31" s="149">
        <f t="shared" si="0"/>
        <v>20.751761942051683</v>
      </c>
    </row>
    <row r="32" spans="1:7" s="191" customFormat="1" ht="15">
      <c r="A32" s="93"/>
      <c r="B32" s="224">
        <v>6409</v>
      </c>
      <c r="C32" s="93" t="s">
        <v>332</v>
      </c>
      <c r="D32" s="149">
        <v>1000</v>
      </c>
      <c r="E32" s="150">
        <v>702</v>
      </c>
      <c r="F32" s="148"/>
      <c r="G32" s="149">
        <f t="shared" si="0"/>
        <v>0</v>
      </c>
    </row>
    <row r="33" spans="1:7" s="191" customFormat="1" ht="14.25" customHeight="1" thickBot="1">
      <c r="A33" s="228"/>
      <c r="B33" s="229"/>
      <c r="C33" s="230"/>
      <c r="D33" s="231"/>
      <c r="E33" s="232"/>
      <c r="F33" s="233"/>
      <c r="G33" s="231"/>
    </row>
    <row r="34" spans="1:7" s="191" customFormat="1" ht="18.75" customHeight="1" thickBot="1" thickTop="1">
      <c r="A34" s="234"/>
      <c r="B34" s="235"/>
      <c r="C34" s="236" t="s">
        <v>333</v>
      </c>
      <c r="D34" s="237">
        <f>SUM(D9:D33)</f>
        <v>91760</v>
      </c>
      <c r="E34" s="238">
        <f>SUM(E9:E33)</f>
        <v>93939.1</v>
      </c>
      <c r="F34" s="239">
        <f>SUM(F9:F33)</f>
        <v>65086</v>
      </c>
      <c r="G34" s="237">
        <f>(F34/E34)*100</f>
        <v>69.28531357017471</v>
      </c>
    </row>
    <row r="35" spans="1:7" s="191" customFormat="1" ht="15.75" customHeight="1">
      <c r="A35" s="190"/>
      <c r="B35" s="193"/>
      <c r="C35" s="240"/>
      <c r="D35" s="241"/>
      <c r="E35" s="241"/>
      <c r="F35" s="241"/>
      <c r="G35" s="241"/>
    </row>
    <row r="36" spans="1:7" s="191" customFormat="1" ht="18.75" customHeight="1" hidden="1">
      <c r="A36" s="190"/>
      <c r="B36" s="193"/>
      <c r="C36" s="240"/>
      <c r="D36" s="241"/>
      <c r="E36" s="241"/>
      <c r="F36" s="241"/>
      <c r="G36" s="241"/>
    </row>
    <row r="37" spans="1:7" s="191" customFormat="1" ht="18.75" customHeight="1" hidden="1">
      <c r="A37" s="190"/>
      <c r="B37" s="193"/>
      <c r="C37" s="240"/>
      <c r="D37" s="241"/>
      <c r="E37" s="241"/>
      <c r="F37" s="241"/>
      <c r="G37" s="241"/>
    </row>
    <row r="38" spans="1:7" s="191" customFormat="1" ht="15.75" customHeight="1" hidden="1">
      <c r="A38" s="190"/>
      <c r="B38" s="193"/>
      <c r="C38" s="240"/>
      <c r="D38" s="241"/>
      <c r="E38" s="241"/>
      <c r="F38" s="241"/>
      <c r="G38" s="241"/>
    </row>
    <row r="39" spans="1:7" s="191" customFormat="1" ht="15.75" customHeight="1" hidden="1">
      <c r="A39" s="190"/>
      <c r="B39" s="193"/>
      <c r="C39" s="240"/>
      <c r="D39" s="242"/>
      <c r="E39" s="242"/>
      <c r="F39" s="242"/>
      <c r="G39" s="242"/>
    </row>
    <row r="40" spans="1:7" s="191" customFormat="1" ht="12.75" customHeight="1" hidden="1">
      <c r="A40" s="190"/>
      <c r="B40" s="193"/>
      <c r="C40" s="240"/>
      <c r="D40" s="242"/>
      <c r="E40" s="242"/>
      <c r="F40" s="242"/>
      <c r="G40" s="242"/>
    </row>
    <row r="41" spans="1:7" s="191" customFormat="1" ht="12.75" customHeight="1" hidden="1">
      <c r="A41" s="190"/>
      <c r="B41" s="193"/>
      <c r="C41" s="240"/>
      <c r="D41" s="242"/>
      <c r="E41" s="242"/>
      <c r="F41" s="242"/>
      <c r="G41" s="242"/>
    </row>
    <row r="42" s="191" customFormat="1" ht="15.75" customHeight="1" thickBot="1">
      <c r="B42" s="243"/>
    </row>
    <row r="43" spans="1:7" s="191" customFormat="1" ht="15.75">
      <c r="A43" s="211" t="s">
        <v>25</v>
      </c>
      <c r="B43" s="212" t="s">
        <v>26</v>
      </c>
      <c r="C43" s="211" t="s">
        <v>28</v>
      </c>
      <c r="D43" s="211" t="s">
        <v>29</v>
      </c>
      <c r="E43" s="211" t="s">
        <v>29</v>
      </c>
      <c r="F43" s="59" t="s">
        <v>8</v>
      </c>
      <c r="G43" s="211" t="s">
        <v>306</v>
      </c>
    </row>
    <row r="44" spans="1:7" s="191" customFormat="1" ht="15.75" customHeight="1" thickBot="1">
      <c r="A44" s="213"/>
      <c r="B44" s="214"/>
      <c r="C44" s="215"/>
      <c r="D44" s="216" t="s">
        <v>31</v>
      </c>
      <c r="E44" s="216" t="s">
        <v>32</v>
      </c>
      <c r="F44" s="63" t="s">
        <v>33</v>
      </c>
      <c r="G44" s="216" t="s">
        <v>307</v>
      </c>
    </row>
    <row r="45" spans="1:7" s="191" customFormat="1" ht="16.5" customHeight="1" thickTop="1">
      <c r="A45" s="217">
        <v>20</v>
      </c>
      <c r="B45" s="218"/>
      <c r="C45" s="65" t="s">
        <v>334</v>
      </c>
      <c r="D45" s="123"/>
      <c r="E45" s="121"/>
      <c r="F45" s="122"/>
      <c r="G45" s="123"/>
    </row>
    <row r="46" spans="1:7" s="191" customFormat="1" ht="15" customHeight="1">
      <c r="A46" s="145"/>
      <c r="B46" s="223"/>
      <c r="C46" s="65"/>
      <c r="D46" s="149"/>
      <c r="E46" s="150"/>
      <c r="F46" s="148"/>
      <c r="G46" s="149"/>
    </row>
    <row r="47" spans="1:7" s="191" customFormat="1" ht="15">
      <c r="A47" s="93"/>
      <c r="B47" s="224">
        <v>2212</v>
      </c>
      <c r="C47" s="151" t="s">
        <v>335</v>
      </c>
      <c r="D47" s="105">
        <f>23284-12267</f>
        <v>11017</v>
      </c>
      <c r="E47" s="71">
        <f>29186.8-3000-12067.6</f>
        <v>14119.199999999999</v>
      </c>
      <c r="F47" s="72">
        <f>6796.2-20-144.4</f>
        <v>6631.8</v>
      </c>
      <c r="G47" s="149">
        <f aca="true" t="shared" si="1" ref="G47:G110">(F47/E47)*100</f>
        <v>46.97008329083801</v>
      </c>
    </row>
    <row r="48" spans="1:7" s="191" customFormat="1" ht="15" customHeight="1">
      <c r="A48" s="93"/>
      <c r="B48" s="224">
        <v>2219</v>
      </c>
      <c r="C48" s="151" t="s">
        <v>336</v>
      </c>
      <c r="D48" s="105">
        <f>18169-2500-7839</f>
        <v>7830</v>
      </c>
      <c r="E48" s="71">
        <f>34127.9-2500-23334.1</f>
        <v>8293.800000000003</v>
      </c>
      <c r="F48" s="72">
        <f>7199.6-14-1229.6</f>
        <v>5956</v>
      </c>
      <c r="G48" s="149">
        <f t="shared" si="1"/>
        <v>71.81267935084036</v>
      </c>
    </row>
    <row r="49" spans="1:7" s="191" customFormat="1" ht="15">
      <c r="A49" s="93"/>
      <c r="B49" s="224">
        <v>2221</v>
      </c>
      <c r="C49" s="151" t="s">
        <v>337</v>
      </c>
      <c r="D49" s="105">
        <f>65450-65350</f>
        <v>100</v>
      </c>
      <c r="E49" s="71">
        <f>43731.8-43628.1</f>
        <v>103.70000000000437</v>
      </c>
      <c r="F49" s="72">
        <f>2462.4-2458.8</f>
        <v>3.599999999999909</v>
      </c>
      <c r="G49" s="149">
        <f t="shared" si="1"/>
        <v>3.471552555448175</v>
      </c>
    </row>
    <row r="50" spans="1:7" s="191" customFormat="1" ht="15">
      <c r="A50" s="93"/>
      <c r="B50" s="224">
        <v>2229</v>
      </c>
      <c r="C50" s="151" t="s">
        <v>338</v>
      </c>
      <c r="D50" s="105">
        <v>10</v>
      </c>
      <c r="E50" s="71">
        <v>10</v>
      </c>
      <c r="F50" s="72">
        <v>8.1</v>
      </c>
      <c r="G50" s="149">
        <f t="shared" si="1"/>
        <v>81</v>
      </c>
    </row>
    <row r="51" spans="1:7" s="191" customFormat="1" ht="15" hidden="1">
      <c r="A51" s="93"/>
      <c r="B51" s="224">
        <v>2241</v>
      </c>
      <c r="C51" s="151" t="s">
        <v>339</v>
      </c>
      <c r="D51" s="105"/>
      <c r="E51" s="71"/>
      <c r="F51" s="72"/>
      <c r="G51" s="149" t="e">
        <f t="shared" si="1"/>
        <v>#DIV/0!</v>
      </c>
    </row>
    <row r="52" spans="1:7" s="191" customFormat="1" ht="15" hidden="1">
      <c r="A52" s="93"/>
      <c r="B52" s="224">
        <v>2310</v>
      </c>
      <c r="C52" s="151" t="s">
        <v>340</v>
      </c>
      <c r="D52" s="105"/>
      <c r="E52" s="71"/>
      <c r="F52" s="72"/>
      <c r="G52" s="149" t="e">
        <f t="shared" si="1"/>
        <v>#DIV/0!</v>
      </c>
    </row>
    <row r="53" spans="1:7" s="191" customFormat="1" ht="15">
      <c r="A53" s="93"/>
      <c r="B53" s="224">
        <v>2321</v>
      </c>
      <c r="C53" s="151" t="s">
        <v>341</v>
      </c>
      <c r="D53" s="105">
        <v>50</v>
      </c>
      <c r="E53" s="71">
        <v>50</v>
      </c>
      <c r="F53" s="72">
        <v>46.1</v>
      </c>
      <c r="G53" s="149">
        <f t="shared" si="1"/>
        <v>92.2</v>
      </c>
    </row>
    <row r="54" spans="1:7" s="196" customFormat="1" ht="15.75">
      <c r="A54" s="93"/>
      <c r="B54" s="224">
        <v>2331</v>
      </c>
      <c r="C54" s="151" t="s">
        <v>342</v>
      </c>
      <c r="D54" s="149">
        <f>727-727</f>
        <v>0</v>
      </c>
      <c r="E54" s="150">
        <f>759.1-727</f>
        <v>32.10000000000002</v>
      </c>
      <c r="F54" s="148">
        <f>58.7-36.3</f>
        <v>22.400000000000006</v>
      </c>
      <c r="G54" s="149">
        <f t="shared" si="1"/>
        <v>69.78193146417442</v>
      </c>
    </row>
    <row r="55" spans="1:7" s="191" customFormat="1" ht="15">
      <c r="A55" s="93"/>
      <c r="B55" s="224">
        <v>3111</v>
      </c>
      <c r="C55" s="244" t="s">
        <v>343</v>
      </c>
      <c r="D55" s="105">
        <f>10321-10321</f>
        <v>0</v>
      </c>
      <c r="E55" s="71">
        <f>15885.3-14887</f>
        <v>998.2999999999993</v>
      </c>
      <c r="F55" s="68">
        <f>1183.9-362.1</f>
        <v>821.8000000000001</v>
      </c>
      <c r="G55" s="149">
        <f t="shared" si="1"/>
        <v>82.31994390463795</v>
      </c>
    </row>
    <row r="56" spans="1:7" s="191" customFormat="1" ht="15">
      <c r="A56" s="93"/>
      <c r="B56" s="224">
        <v>3113</v>
      </c>
      <c r="C56" s="244" t="s">
        <v>344</v>
      </c>
      <c r="D56" s="105">
        <f>11824-11824</f>
        <v>0</v>
      </c>
      <c r="E56" s="71">
        <f>15373.7-14760</f>
        <v>613.7000000000007</v>
      </c>
      <c r="F56" s="68">
        <f>624.8-164</f>
        <v>460.79999999999995</v>
      </c>
      <c r="G56" s="149">
        <f t="shared" si="1"/>
        <v>75.08554668404749</v>
      </c>
    </row>
    <row r="57" spans="1:7" s="196" customFormat="1" ht="15.75">
      <c r="A57" s="93"/>
      <c r="B57" s="224">
        <v>3231</v>
      </c>
      <c r="C57" s="151" t="s">
        <v>345</v>
      </c>
      <c r="D57" s="149">
        <v>0</v>
      </c>
      <c r="E57" s="150">
        <v>374.5</v>
      </c>
      <c r="F57" s="148">
        <v>94.4</v>
      </c>
      <c r="G57" s="149">
        <f t="shared" si="1"/>
        <v>25.206942590120164</v>
      </c>
    </row>
    <row r="58" spans="1:7" s="196" customFormat="1" ht="15.75">
      <c r="A58" s="93"/>
      <c r="B58" s="224">
        <v>3313</v>
      </c>
      <c r="C58" s="151" t="s">
        <v>346</v>
      </c>
      <c r="D58" s="149">
        <f>400-400</f>
        <v>0</v>
      </c>
      <c r="E58" s="150">
        <f>465.7-400</f>
        <v>65.69999999999999</v>
      </c>
      <c r="F58" s="148">
        <f>22-0</f>
        <v>22</v>
      </c>
      <c r="G58" s="149">
        <f t="shared" si="1"/>
        <v>33.48554033485541</v>
      </c>
    </row>
    <row r="59" spans="1:7" s="191" customFormat="1" ht="15">
      <c r="A59" s="93"/>
      <c r="B59" s="224">
        <v>3322</v>
      </c>
      <c r="C59" s="244" t="s">
        <v>347</v>
      </c>
      <c r="D59" s="105">
        <v>0</v>
      </c>
      <c r="E59" s="71">
        <v>36.4</v>
      </c>
      <c r="F59" s="72">
        <v>8.2</v>
      </c>
      <c r="G59" s="149">
        <f t="shared" si="1"/>
        <v>22.527472527472526</v>
      </c>
    </row>
    <row r="60" spans="1:7" s="191" customFormat="1" ht="15">
      <c r="A60" s="93"/>
      <c r="B60" s="224">
        <v>3326</v>
      </c>
      <c r="C60" s="244" t="s">
        <v>348</v>
      </c>
      <c r="D60" s="105">
        <v>0</v>
      </c>
      <c r="E60" s="71">
        <v>6.6</v>
      </c>
      <c r="F60" s="72">
        <v>6.5</v>
      </c>
      <c r="G60" s="149">
        <f t="shared" si="1"/>
        <v>98.48484848484848</v>
      </c>
    </row>
    <row r="61" spans="1:7" s="196" customFormat="1" ht="15.75">
      <c r="A61" s="93"/>
      <c r="B61" s="224">
        <v>3392</v>
      </c>
      <c r="C61" s="151" t="s">
        <v>349</v>
      </c>
      <c r="D61" s="149">
        <v>0</v>
      </c>
      <c r="E61" s="150">
        <v>170.8</v>
      </c>
      <c r="F61" s="148">
        <v>150.2</v>
      </c>
      <c r="G61" s="149">
        <f t="shared" si="1"/>
        <v>87.9391100702576</v>
      </c>
    </row>
    <row r="62" spans="1:7" s="191" customFormat="1" ht="15">
      <c r="A62" s="93"/>
      <c r="B62" s="224">
        <v>3412</v>
      </c>
      <c r="C62" s="244" t="s">
        <v>350</v>
      </c>
      <c r="D62" s="105">
        <v>0</v>
      </c>
      <c r="E62" s="71">
        <v>639.8</v>
      </c>
      <c r="F62" s="72">
        <v>127.8</v>
      </c>
      <c r="G62" s="149">
        <f t="shared" si="1"/>
        <v>19.974992185057832</v>
      </c>
    </row>
    <row r="63" spans="1:7" s="191" customFormat="1" ht="15">
      <c r="A63" s="93"/>
      <c r="B63" s="224">
        <v>3421</v>
      </c>
      <c r="C63" s="244" t="s">
        <v>351</v>
      </c>
      <c r="D63" s="105">
        <f>24-0</f>
        <v>24</v>
      </c>
      <c r="E63" s="71">
        <f>440.1-319.9</f>
        <v>120.20000000000005</v>
      </c>
      <c r="F63" s="72">
        <f>116.2-0</f>
        <v>116.2</v>
      </c>
      <c r="G63" s="149">
        <f t="shared" si="1"/>
        <v>96.67221297836936</v>
      </c>
    </row>
    <row r="64" spans="1:7" s="191" customFormat="1" ht="15" hidden="1">
      <c r="A64" s="93"/>
      <c r="B64" s="224">
        <v>3612</v>
      </c>
      <c r="C64" s="244" t="s">
        <v>352</v>
      </c>
      <c r="D64" s="105"/>
      <c r="E64" s="71"/>
      <c r="F64" s="72"/>
      <c r="G64" s="149" t="e">
        <f t="shared" si="1"/>
        <v>#DIV/0!</v>
      </c>
    </row>
    <row r="65" spans="1:7" s="191" customFormat="1" ht="15">
      <c r="A65" s="93"/>
      <c r="B65" s="224">
        <v>3613</v>
      </c>
      <c r="C65" s="244" t="s">
        <v>353</v>
      </c>
      <c r="D65" s="105">
        <v>0</v>
      </c>
      <c r="E65" s="71">
        <v>155.8</v>
      </c>
      <c r="F65" s="72">
        <v>155.7</v>
      </c>
      <c r="G65" s="149">
        <f t="shared" si="1"/>
        <v>99.93581514762515</v>
      </c>
    </row>
    <row r="66" spans="1:7" s="191" customFormat="1" ht="15">
      <c r="A66" s="93"/>
      <c r="B66" s="224">
        <v>3631</v>
      </c>
      <c r="C66" s="244" t="s">
        <v>354</v>
      </c>
      <c r="D66" s="105">
        <v>7700</v>
      </c>
      <c r="E66" s="71">
        <v>10086.6</v>
      </c>
      <c r="F66" s="72">
        <v>6756</v>
      </c>
      <c r="G66" s="149">
        <f t="shared" si="1"/>
        <v>66.97995360180833</v>
      </c>
    </row>
    <row r="67" spans="1:7" s="196" customFormat="1" ht="15.75">
      <c r="A67" s="93"/>
      <c r="B67" s="224">
        <v>3632</v>
      </c>
      <c r="C67" s="151" t="s">
        <v>355</v>
      </c>
      <c r="D67" s="149">
        <f>600-600</f>
        <v>0</v>
      </c>
      <c r="E67" s="150">
        <f>642-600</f>
        <v>42</v>
      </c>
      <c r="F67" s="148">
        <f>0-0</f>
        <v>0</v>
      </c>
      <c r="G67" s="149">
        <f t="shared" si="1"/>
        <v>0</v>
      </c>
    </row>
    <row r="68" spans="1:7" s="191" customFormat="1" ht="15">
      <c r="A68" s="93"/>
      <c r="B68" s="224">
        <v>3635</v>
      </c>
      <c r="C68" s="244" t="s">
        <v>356</v>
      </c>
      <c r="D68" s="105">
        <f>3375-1405</f>
        <v>1970</v>
      </c>
      <c r="E68" s="71">
        <f>3076.2-1405</f>
        <v>1671.1999999999998</v>
      </c>
      <c r="F68" s="72">
        <f>64.9-0</f>
        <v>64.9</v>
      </c>
      <c r="G68" s="149">
        <f t="shared" si="1"/>
        <v>3.8834370512206804</v>
      </c>
    </row>
    <row r="69" spans="1:7" s="196" customFormat="1" ht="15.75">
      <c r="A69" s="93"/>
      <c r="B69" s="224">
        <v>3639</v>
      </c>
      <c r="C69" s="151" t="s">
        <v>357</v>
      </c>
      <c r="D69" s="149">
        <v>216</v>
      </c>
      <c r="E69" s="150">
        <v>252.8</v>
      </c>
      <c r="F69" s="148">
        <v>252.8</v>
      </c>
      <c r="G69" s="149">
        <f t="shared" si="1"/>
        <v>100</v>
      </c>
    </row>
    <row r="70" spans="1:7" s="191" customFormat="1" ht="15">
      <c r="A70" s="93"/>
      <c r="B70" s="224">
        <v>3699</v>
      </c>
      <c r="C70" s="244" t="s">
        <v>358</v>
      </c>
      <c r="D70" s="119">
        <v>50</v>
      </c>
      <c r="E70" s="67">
        <v>137.1</v>
      </c>
      <c r="F70" s="68">
        <v>96.3</v>
      </c>
      <c r="G70" s="149">
        <f t="shared" si="1"/>
        <v>70.24070021881839</v>
      </c>
    </row>
    <row r="71" spans="1:7" s="191" customFormat="1" ht="15">
      <c r="A71" s="93"/>
      <c r="B71" s="224">
        <v>3722</v>
      </c>
      <c r="C71" s="244" t="s">
        <v>359</v>
      </c>
      <c r="D71" s="105">
        <v>21050</v>
      </c>
      <c r="E71" s="71">
        <v>21050</v>
      </c>
      <c r="F71" s="72">
        <v>13491.6</v>
      </c>
      <c r="G71" s="149">
        <f t="shared" si="1"/>
        <v>64.09311163895487</v>
      </c>
    </row>
    <row r="72" spans="1:7" s="196" customFormat="1" ht="15.75">
      <c r="A72" s="93"/>
      <c r="B72" s="224">
        <v>3726</v>
      </c>
      <c r="C72" s="151" t="s">
        <v>360</v>
      </c>
      <c r="D72" s="149">
        <v>0</v>
      </c>
      <c r="E72" s="150">
        <f>2008.5-1935.5-54</f>
        <v>19</v>
      </c>
      <c r="F72" s="148">
        <f>23.7-23.7-0</f>
        <v>0</v>
      </c>
      <c r="G72" s="149">
        <f t="shared" si="1"/>
        <v>0</v>
      </c>
    </row>
    <row r="73" spans="1:7" s="196" customFormat="1" ht="15.75">
      <c r="A73" s="93"/>
      <c r="B73" s="224">
        <v>3733</v>
      </c>
      <c r="C73" s="151" t="s">
        <v>361</v>
      </c>
      <c r="D73" s="149">
        <v>0</v>
      </c>
      <c r="E73" s="150">
        <v>30.8</v>
      </c>
      <c r="F73" s="148">
        <v>30.8</v>
      </c>
      <c r="G73" s="149">
        <f t="shared" si="1"/>
        <v>100</v>
      </c>
    </row>
    <row r="74" spans="1:7" s="196" customFormat="1" ht="15.75">
      <c r="A74" s="93"/>
      <c r="B74" s="224">
        <v>3745</v>
      </c>
      <c r="C74" s="151" t="s">
        <v>362</v>
      </c>
      <c r="D74" s="245">
        <v>19109</v>
      </c>
      <c r="E74" s="150">
        <f>24225.5-1696</f>
        <v>22529.5</v>
      </c>
      <c r="F74" s="148">
        <f>12766.2-58.7</f>
        <v>12707.5</v>
      </c>
      <c r="G74" s="149">
        <f t="shared" si="1"/>
        <v>56.40382609467587</v>
      </c>
    </row>
    <row r="75" spans="1:7" s="196" customFormat="1" ht="15.75">
      <c r="A75" s="93"/>
      <c r="B75" s="224">
        <v>4349</v>
      </c>
      <c r="C75" s="151" t="s">
        <v>363</v>
      </c>
      <c r="D75" s="119">
        <v>0</v>
      </c>
      <c r="E75" s="67">
        <f>1699.2-367.5-116.9-497</f>
        <v>717.8</v>
      </c>
      <c r="F75" s="68">
        <f>880.5-47-116.9-367.4</f>
        <v>349.20000000000005</v>
      </c>
      <c r="G75" s="149">
        <f t="shared" si="1"/>
        <v>48.64864864864866</v>
      </c>
    </row>
    <row r="76" spans="1:7" s="196" customFormat="1" ht="15.75">
      <c r="A76" s="97"/>
      <c r="B76" s="224">
        <v>4357</v>
      </c>
      <c r="C76" s="244" t="s">
        <v>364</v>
      </c>
      <c r="D76" s="119">
        <f>500-500</f>
        <v>0</v>
      </c>
      <c r="E76" s="67">
        <f>1325.2-500-792</f>
        <v>33.200000000000045</v>
      </c>
      <c r="F76" s="72">
        <f>492.5-492.5-0</f>
        <v>0</v>
      </c>
      <c r="G76" s="149">
        <f t="shared" si="1"/>
        <v>0</v>
      </c>
    </row>
    <row r="77" spans="1:7" s="191" customFormat="1" ht="15" hidden="1">
      <c r="A77" s="97"/>
      <c r="B77" s="224">
        <v>5212</v>
      </c>
      <c r="C77" s="244" t="s">
        <v>365</v>
      </c>
      <c r="D77" s="119"/>
      <c r="E77" s="67"/>
      <c r="F77" s="72"/>
      <c r="G77" s="149" t="e">
        <f t="shared" si="1"/>
        <v>#DIV/0!</v>
      </c>
    </row>
    <row r="78" spans="1:7" s="191" customFormat="1" ht="15" hidden="1">
      <c r="A78" s="97"/>
      <c r="B78" s="224">
        <v>6223</v>
      </c>
      <c r="C78" s="244" t="s">
        <v>366</v>
      </c>
      <c r="D78" s="119"/>
      <c r="E78" s="67"/>
      <c r="F78" s="68"/>
      <c r="G78" s="149" t="e">
        <f t="shared" si="1"/>
        <v>#DIV/0!</v>
      </c>
    </row>
    <row r="79" spans="1:7" s="191" customFormat="1" ht="15">
      <c r="A79" s="97"/>
      <c r="B79" s="224">
        <v>6171</v>
      </c>
      <c r="C79" s="244" t="s">
        <v>367</v>
      </c>
      <c r="D79" s="119">
        <f>2700-2700</f>
        <v>0</v>
      </c>
      <c r="E79" s="67">
        <f>2436-2236.9</f>
        <v>199.0999999999999</v>
      </c>
      <c r="F79" s="68">
        <f>2259.9-2236.9</f>
        <v>23</v>
      </c>
      <c r="G79" s="149">
        <f t="shared" si="1"/>
        <v>11.55198392767454</v>
      </c>
    </row>
    <row r="80" spans="1:7" s="191" customFormat="1" ht="15">
      <c r="A80" s="97">
        <v>6409</v>
      </c>
      <c r="B80" s="224">
        <v>6409</v>
      </c>
      <c r="C80" s="244" t="s">
        <v>368</v>
      </c>
      <c r="D80" s="119">
        <v>2400</v>
      </c>
      <c r="E80" s="67">
        <v>250.5</v>
      </c>
      <c r="F80" s="68">
        <v>0</v>
      </c>
      <c r="G80" s="149">
        <f t="shared" si="1"/>
        <v>0</v>
      </c>
    </row>
    <row r="81" spans="1:7" s="196" customFormat="1" ht="15.75" hidden="1">
      <c r="A81" s="93"/>
      <c r="B81" s="224">
        <v>3315</v>
      </c>
      <c r="C81" s="151" t="s">
        <v>487</v>
      </c>
      <c r="D81" s="149">
        <v>0</v>
      </c>
      <c r="E81" s="150">
        <v>0</v>
      </c>
      <c r="F81" s="148">
        <v>0</v>
      </c>
      <c r="G81" s="149" t="e">
        <f t="shared" si="1"/>
        <v>#DIV/0!</v>
      </c>
    </row>
    <row r="82" spans="1:7" s="196" customFormat="1" ht="15.75">
      <c r="A82" s="219"/>
      <c r="B82" s="223"/>
      <c r="C82" s="246" t="s">
        <v>369</v>
      </c>
      <c r="D82" s="247">
        <f>SUM(D47:D81)</f>
        <v>71526</v>
      </c>
      <c r="E82" s="248">
        <f>SUM(E47:E81)</f>
        <v>82810.20000000001</v>
      </c>
      <c r="F82" s="249">
        <f>SUM(F47:F81)</f>
        <v>48403.7</v>
      </c>
      <c r="G82" s="149">
        <f t="shared" si="1"/>
        <v>58.451374347604514</v>
      </c>
    </row>
    <row r="83" spans="1:7" s="196" customFormat="1" ht="14.25" customHeight="1">
      <c r="A83" s="93"/>
      <c r="B83" s="224"/>
      <c r="C83" s="151"/>
      <c r="D83" s="250"/>
      <c r="E83" s="251"/>
      <c r="F83" s="252"/>
      <c r="G83" s="149"/>
    </row>
    <row r="84" spans="1:7" s="196" customFormat="1" ht="15.75">
      <c r="A84" s="93">
        <v>1028000000</v>
      </c>
      <c r="B84" s="224">
        <v>2212</v>
      </c>
      <c r="C84" s="253" t="s">
        <v>370</v>
      </c>
      <c r="D84" s="149">
        <v>6500</v>
      </c>
      <c r="E84" s="150">
        <v>6270.2</v>
      </c>
      <c r="F84" s="148">
        <v>65.4</v>
      </c>
      <c r="G84" s="149">
        <f t="shared" si="1"/>
        <v>1.043028930496635</v>
      </c>
    </row>
    <row r="85" spans="1:7" s="196" customFormat="1" ht="15.75">
      <c r="A85" s="93">
        <v>1042000000</v>
      </c>
      <c r="B85" s="224">
        <v>2212</v>
      </c>
      <c r="C85" s="151" t="s">
        <v>371</v>
      </c>
      <c r="D85" s="149">
        <v>5767</v>
      </c>
      <c r="E85" s="150">
        <v>3203.4</v>
      </c>
      <c r="F85" s="148">
        <v>50.4</v>
      </c>
      <c r="G85" s="149">
        <f t="shared" si="1"/>
        <v>1.5733283386401946</v>
      </c>
    </row>
    <row r="86" spans="1:7" s="196" customFormat="1" ht="15.75" hidden="1">
      <c r="A86" s="93"/>
      <c r="B86" s="224"/>
      <c r="C86" s="253"/>
      <c r="D86" s="149"/>
      <c r="E86" s="150"/>
      <c r="F86" s="148"/>
      <c r="G86" s="149" t="e">
        <f t="shared" si="1"/>
        <v>#DIV/0!</v>
      </c>
    </row>
    <row r="87" spans="1:7" s="196" customFormat="1" ht="15.75" hidden="1">
      <c r="A87" s="93"/>
      <c r="B87" s="224"/>
      <c r="C87" s="151"/>
      <c r="D87" s="149"/>
      <c r="E87" s="150"/>
      <c r="F87" s="148"/>
      <c r="G87" s="149" t="e">
        <f t="shared" si="1"/>
        <v>#DIV/0!</v>
      </c>
    </row>
    <row r="88" spans="1:7" s="196" customFormat="1" ht="15.75" hidden="1">
      <c r="A88" s="93"/>
      <c r="B88" s="224"/>
      <c r="C88" s="151"/>
      <c r="D88" s="149"/>
      <c r="E88" s="150"/>
      <c r="F88" s="148"/>
      <c r="G88" s="149" t="e">
        <f t="shared" si="1"/>
        <v>#DIV/0!</v>
      </c>
    </row>
    <row r="89" spans="1:7" s="196" customFormat="1" ht="15.75" hidden="1">
      <c r="A89" s="93"/>
      <c r="B89" s="224"/>
      <c r="C89" s="151"/>
      <c r="D89" s="149"/>
      <c r="E89" s="150"/>
      <c r="F89" s="148"/>
      <c r="G89" s="149" t="e">
        <f t="shared" si="1"/>
        <v>#DIV/0!</v>
      </c>
    </row>
    <row r="90" spans="1:7" s="196" customFormat="1" ht="15.75" hidden="1">
      <c r="A90" s="93"/>
      <c r="B90" s="224"/>
      <c r="C90" s="151"/>
      <c r="D90" s="149"/>
      <c r="E90" s="150"/>
      <c r="F90" s="148"/>
      <c r="G90" s="149" t="e">
        <f t="shared" si="1"/>
        <v>#DIV/0!</v>
      </c>
    </row>
    <row r="91" spans="1:7" s="196" customFormat="1" ht="15.75" customHeight="1" hidden="1">
      <c r="A91" s="93"/>
      <c r="B91" s="224"/>
      <c r="C91" s="254"/>
      <c r="D91" s="149"/>
      <c r="E91" s="150"/>
      <c r="F91" s="148"/>
      <c r="G91" s="149" t="e">
        <f t="shared" si="1"/>
        <v>#DIV/0!</v>
      </c>
    </row>
    <row r="92" spans="1:7" s="196" customFormat="1" ht="15.75">
      <c r="A92" s="93">
        <v>1064000000</v>
      </c>
      <c r="B92" s="224">
        <v>2212</v>
      </c>
      <c r="C92" s="151" t="s">
        <v>372</v>
      </c>
      <c r="D92" s="149">
        <v>0</v>
      </c>
      <c r="E92" s="150">
        <v>2544</v>
      </c>
      <c r="F92" s="148">
        <v>28.7</v>
      </c>
      <c r="G92" s="149">
        <f t="shared" si="1"/>
        <v>1.1281446540880502</v>
      </c>
    </row>
    <row r="93" spans="1:7" s="196" customFormat="1" ht="15.75">
      <c r="A93" s="93">
        <v>1068000000</v>
      </c>
      <c r="B93" s="224">
        <v>2212</v>
      </c>
      <c r="C93" s="151" t="s">
        <v>373</v>
      </c>
      <c r="D93" s="149">
        <v>0</v>
      </c>
      <c r="E93" s="150">
        <v>50</v>
      </c>
      <c r="F93" s="148">
        <v>0</v>
      </c>
      <c r="G93" s="149">
        <f t="shared" si="1"/>
        <v>0</v>
      </c>
    </row>
    <row r="94" spans="1:7" s="196" customFormat="1" ht="15.75">
      <c r="A94" s="93">
        <v>1059000000</v>
      </c>
      <c r="B94" s="224">
        <v>2212</v>
      </c>
      <c r="C94" s="151" t="s">
        <v>374</v>
      </c>
      <c r="D94" s="149">
        <v>0</v>
      </c>
      <c r="E94" s="150">
        <v>3000</v>
      </c>
      <c r="F94" s="148">
        <v>20</v>
      </c>
      <c r="G94" s="149">
        <f t="shared" si="1"/>
        <v>0.6666666666666667</v>
      </c>
    </row>
    <row r="95" spans="1:7" s="196" customFormat="1" ht="15.75">
      <c r="A95" s="93">
        <v>1006010023</v>
      </c>
      <c r="B95" s="224">
        <v>2219</v>
      </c>
      <c r="C95" s="151" t="s">
        <v>375</v>
      </c>
      <c r="D95" s="149">
        <v>0</v>
      </c>
      <c r="E95" s="150">
        <v>7349</v>
      </c>
      <c r="F95" s="148">
        <v>80.6</v>
      </c>
      <c r="G95" s="149">
        <f t="shared" si="1"/>
        <v>1.0967478568512723</v>
      </c>
    </row>
    <row r="96" spans="1:7" s="196" customFormat="1" ht="15.75">
      <c r="A96" s="93">
        <v>1026000000</v>
      </c>
      <c r="B96" s="224">
        <v>2219</v>
      </c>
      <c r="C96" s="151" t="s">
        <v>376</v>
      </c>
      <c r="D96" s="149">
        <v>0</v>
      </c>
      <c r="E96" s="150">
        <v>523</v>
      </c>
      <c r="F96" s="148">
        <v>518.5</v>
      </c>
      <c r="G96" s="149">
        <f t="shared" si="1"/>
        <v>99.1395793499044</v>
      </c>
    </row>
    <row r="97" spans="1:7" s="196" customFormat="1" ht="15.75" customHeight="1">
      <c r="A97" s="93">
        <v>1033000000</v>
      </c>
      <c r="B97" s="224">
        <v>2219</v>
      </c>
      <c r="C97" s="254" t="s">
        <v>377</v>
      </c>
      <c r="D97" s="149">
        <v>0</v>
      </c>
      <c r="E97" s="150">
        <v>154.1</v>
      </c>
      <c r="F97" s="148">
        <v>154.1</v>
      </c>
      <c r="G97" s="149">
        <f t="shared" si="1"/>
        <v>100</v>
      </c>
    </row>
    <row r="98" spans="1:7" s="196" customFormat="1" ht="15.75" customHeight="1">
      <c r="A98" s="93">
        <v>1037000000</v>
      </c>
      <c r="B98" s="224">
        <v>2219</v>
      </c>
      <c r="C98" s="254" t="s">
        <v>378</v>
      </c>
      <c r="D98" s="149">
        <v>992</v>
      </c>
      <c r="E98" s="150">
        <v>1808</v>
      </c>
      <c r="F98" s="148">
        <v>321.6</v>
      </c>
      <c r="G98" s="149">
        <f t="shared" si="1"/>
        <v>17.787610619469028</v>
      </c>
    </row>
    <row r="99" spans="1:7" s="196" customFormat="1" ht="15.75" customHeight="1">
      <c r="A99" s="93">
        <v>1043000000</v>
      </c>
      <c r="B99" s="224">
        <v>2219</v>
      </c>
      <c r="C99" s="254" t="s">
        <v>379</v>
      </c>
      <c r="D99" s="149">
        <v>1036</v>
      </c>
      <c r="E99" s="150">
        <v>1036</v>
      </c>
      <c r="F99" s="148">
        <v>0</v>
      </c>
      <c r="G99" s="149">
        <f t="shared" si="1"/>
        <v>0</v>
      </c>
    </row>
    <row r="100" spans="1:7" s="196" customFormat="1" ht="15.75">
      <c r="A100" s="93">
        <v>1044000000</v>
      </c>
      <c r="B100" s="224">
        <v>2219</v>
      </c>
      <c r="C100" s="151" t="s">
        <v>380</v>
      </c>
      <c r="D100" s="149">
        <v>3000</v>
      </c>
      <c r="E100" s="150">
        <v>3000</v>
      </c>
      <c r="F100" s="148">
        <v>0</v>
      </c>
      <c r="G100" s="149">
        <f t="shared" si="1"/>
        <v>0</v>
      </c>
    </row>
    <row r="101" spans="1:7" s="196" customFormat="1" ht="15.75">
      <c r="A101" s="93">
        <v>1051000000</v>
      </c>
      <c r="B101" s="224">
        <v>2219</v>
      </c>
      <c r="C101" s="151" t="s">
        <v>381</v>
      </c>
      <c r="D101" s="149">
        <v>2000</v>
      </c>
      <c r="E101" s="150">
        <v>2000</v>
      </c>
      <c r="F101" s="148">
        <v>48</v>
      </c>
      <c r="G101" s="149">
        <f t="shared" si="1"/>
        <v>2.4</v>
      </c>
    </row>
    <row r="102" spans="1:7" s="196" customFormat="1" ht="15.75" customHeight="1">
      <c r="A102" s="93">
        <v>1052000000</v>
      </c>
      <c r="B102" s="224">
        <v>2219</v>
      </c>
      <c r="C102" s="254" t="s">
        <v>382</v>
      </c>
      <c r="D102" s="149">
        <v>811</v>
      </c>
      <c r="E102" s="150">
        <v>811</v>
      </c>
      <c r="F102" s="148">
        <v>0</v>
      </c>
      <c r="G102" s="149">
        <f t="shared" si="1"/>
        <v>0</v>
      </c>
    </row>
    <row r="103" spans="1:7" s="196" customFormat="1" ht="15.75">
      <c r="A103" s="93">
        <v>1054000000</v>
      </c>
      <c r="B103" s="224">
        <v>2219</v>
      </c>
      <c r="C103" s="151" t="s">
        <v>383</v>
      </c>
      <c r="D103" s="149">
        <v>0</v>
      </c>
      <c r="E103" s="150">
        <v>2000</v>
      </c>
      <c r="F103" s="148">
        <v>64.9</v>
      </c>
      <c r="G103" s="149">
        <f t="shared" si="1"/>
        <v>3.245</v>
      </c>
    </row>
    <row r="104" spans="1:7" s="196" customFormat="1" ht="15.75">
      <c r="A104" s="93">
        <v>1058000000</v>
      </c>
      <c r="B104" s="224">
        <v>2219</v>
      </c>
      <c r="C104" s="151" t="s">
        <v>384</v>
      </c>
      <c r="D104" s="149">
        <v>0</v>
      </c>
      <c r="E104" s="150">
        <v>853</v>
      </c>
      <c r="F104" s="148">
        <v>2</v>
      </c>
      <c r="G104" s="149">
        <f t="shared" si="1"/>
        <v>0.23446658851113714</v>
      </c>
    </row>
    <row r="105" spans="1:7" s="196" customFormat="1" ht="15.75">
      <c r="A105" s="93">
        <v>1061000000</v>
      </c>
      <c r="B105" s="224">
        <v>2219</v>
      </c>
      <c r="C105" s="151" t="s">
        <v>385</v>
      </c>
      <c r="D105" s="149">
        <v>0</v>
      </c>
      <c r="E105" s="150">
        <v>3800</v>
      </c>
      <c r="F105" s="148">
        <v>39.9</v>
      </c>
      <c r="G105" s="149">
        <f t="shared" si="1"/>
        <v>1.0499999999999998</v>
      </c>
    </row>
    <row r="106" spans="1:7" s="196" customFormat="1" ht="15.75">
      <c r="A106" s="93">
        <v>1045000000</v>
      </c>
      <c r="B106" s="224">
        <v>2219</v>
      </c>
      <c r="C106" s="151" t="s">
        <v>386</v>
      </c>
      <c r="D106" s="149">
        <v>2500</v>
      </c>
      <c r="E106" s="150">
        <v>2500</v>
      </c>
      <c r="F106" s="148">
        <v>14</v>
      </c>
      <c r="G106" s="149">
        <f t="shared" si="1"/>
        <v>0.5599999999999999</v>
      </c>
    </row>
    <row r="107" spans="1:7" s="196" customFormat="1" ht="15.75">
      <c r="A107" s="69">
        <v>1003071007</v>
      </c>
      <c r="B107" s="255">
        <v>2221</v>
      </c>
      <c r="C107" s="104" t="s">
        <v>387</v>
      </c>
      <c r="D107" s="149">
        <v>41700</v>
      </c>
      <c r="E107" s="150">
        <v>26695.4</v>
      </c>
      <c r="F107" s="148">
        <v>1802.3</v>
      </c>
      <c r="G107" s="149">
        <f t="shared" si="1"/>
        <v>6.751350419922534</v>
      </c>
    </row>
    <row r="108" spans="1:7" s="196" customFormat="1" ht="15.75">
      <c r="A108" s="93">
        <v>1039000000</v>
      </c>
      <c r="B108" s="224">
        <v>2221</v>
      </c>
      <c r="C108" s="151" t="s">
        <v>388</v>
      </c>
      <c r="D108" s="149">
        <v>23650</v>
      </c>
      <c r="E108" s="150">
        <f>202+23.7+16707</f>
        <v>16932.7</v>
      </c>
      <c r="F108" s="148">
        <v>656.5</v>
      </c>
      <c r="G108" s="149">
        <f t="shared" si="1"/>
        <v>3.877113514088125</v>
      </c>
    </row>
    <row r="109" spans="1:7" s="196" customFormat="1" ht="15.75">
      <c r="A109" s="93">
        <v>1036000000</v>
      </c>
      <c r="B109" s="224">
        <v>2331</v>
      </c>
      <c r="C109" s="151" t="s">
        <v>389</v>
      </c>
      <c r="D109" s="149">
        <v>727</v>
      </c>
      <c r="E109" s="150">
        <v>727</v>
      </c>
      <c r="F109" s="148">
        <v>36.3</v>
      </c>
      <c r="G109" s="149">
        <f t="shared" si="1"/>
        <v>4.993122420907841</v>
      </c>
    </row>
    <row r="110" spans="1:7" s="196" customFormat="1" ht="15.75">
      <c r="A110" s="93">
        <v>1046000000</v>
      </c>
      <c r="B110" s="224">
        <v>3111</v>
      </c>
      <c r="C110" s="151" t="s">
        <v>390</v>
      </c>
      <c r="D110" s="149">
        <v>1831</v>
      </c>
      <c r="E110" s="150">
        <v>1831</v>
      </c>
      <c r="F110" s="148">
        <v>73.8</v>
      </c>
      <c r="G110" s="149">
        <f t="shared" si="1"/>
        <v>4.030584380120153</v>
      </c>
    </row>
    <row r="111" spans="1:7" s="196" customFormat="1" ht="15.75">
      <c r="A111" s="93">
        <v>1047000000</v>
      </c>
      <c r="B111" s="224">
        <v>3111</v>
      </c>
      <c r="C111" s="151" t="s">
        <v>391</v>
      </c>
      <c r="D111" s="149">
        <v>8490</v>
      </c>
      <c r="E111" s="150">
        <v>8490</v>
      </c>
      <c r="F111" s="148">
        <v>96.5</v>
      </c>
      <c r="G111" s="149">
        <f aca="true" t="shared" si="2" ref="G111:G133">(F111/E111)*100</f>
        <v>1.1366313309776208</v>
      </c>
    </row>
    <row r="112" spans="1:7" s="196" customFormat="1" ht="15.75">
      <c r="A112" s="93">
        <v>1056000000</v>
      </c>
      <c r="B112" s="224">
        <v>3111</v>
      </c>
      <c r="C112" s="151" t="s">
        <v>392</v>
      </c>
      <c r="D112" s="149">
        <v>0</v>
      </c>
      <c r="E112" s="150">
        <v>3066</v>
      </c>
      <c r="F112" s="148">
        <v>154.3</v>
      </c>
      <c r="G112" s="149">
        <f t="shared" si="2"/>
        <v>5.032615786040444</v>
      </c>
    </row>
    <row r="113" spans="1:7" s="196" customFormat="1" ht="15.75">
      <c r="A113" s="93">
        <v>1057000000</v>
      </c>
      <c r="B113" s="224">
        <v>3111</v>
      </c>
      <c r="C113" s="151" t="s">
        <v>393</v>
      </c>
      <c r="D113" s="149">
        <v>0</v>
      </c>
      <c r="E113" s="150">
        <v>1500</v>
      </c>
      <c r="F113" s="148">
        <v>37.5</v>
      </c>
      <c r="G113" s="149">
        <f t="shared" si="2"/>
        <v>2.5</v>
      </c>
    </row>
    <row r="114" spans="1:7" s="196" customFormat="1" ht="15.75">
      <c r="A114" s="93">
        <v>1048000000</v>
      </c>
      <c r="B114" s="224">
        <v>3113</v>
      </c>
      <c r="C114" s="151" t="s">
        <v>394</v>
      </c>
      <c r="D114" s="149">
        <v>11824</v>
      </c>
      <c r="E114" s="150">
        <v>11824</v>
      </c>
      <c r="F114" s="77">
        <v>114.1</v>
      </c>
      <c r="G114" s="149">
        <f t="shared" si="2"/>
        <v>0.9649864682002706</v>
      </c>
    </row>
    <row r="115" spans="1:7" s="196" customFormat="1" ht="15.75">
      <c r="A115" s="93">
        <v>1055000000</v>
      </c>
      <c r="B115" s="224">
        <v>3113</v>
      </c>
      <c r="C115" s="151" t="s">
        <v>395</v>
      </c>
      <c r="D115" s="149">
        <v>0</v>
      </c>
      <c r="E115" s="150">
        <v>2936</v>
      </c>
      <c r="F115" s="148">
        <v>49.9</v>
      </c>
      <c r="G115" s="149">
        <f t="shared" si="2"/>
        <v>1.699591280653951</v>
      </c>
    </row>
    <row r="116" spans="1:7" s="196" customFormat="1" ht="15.75">
      <c r="A116" s="69">
        <v>1017000000</v>
      </c>
      <c r="B116" s="255">
        <v>3313</v>
      </c>
      <c r="C116" s="104" t="s">
        <v>396</v>
      </c>
      <c r="D116" s="149">
        <v>400</v>
      </c>
      <c r="E116" s="150">
        <v>400</v>
      </c>
      <c r="F116" s="77">
        <v>0</v>
      </c>
      <c r="G116" s="149">
        <f t="shared" si="2"/>
        <v>0</v>
      </c>
    </row>
    <row r="117" spans="1:7" s="196" customFormat="1" ht="15.75">
      <c r="A117" s="69">
        <v>1063000000</v>
      </c>
      <c r="B117" s="255">
        <v>3421</v>
      </c>
      <c r="C117" s="104" t="s">
        <v>397</v>
      </c>
      <c r="D117" s="149">
        <v>0</v>
      </c>
      <c r="E117" s="150">
        <v>319.9</v>
      </c>
      <c r="F117" s="77">
        <v>0</v>
      </c>
      <c r="G117" s="149">
        <f t="shared" si="2"/>
        <v>0</v>
      </c>
    </row>
    <row r="118" spans="1:7" s="196" customFormat="1" ht="15.75">
      <c r="A118" s="93">
        <v>1049000000</v>
      </c>
      <c r="B118" s="224">
        <v>3632</v>
      </c>
      <c r="C118" s="151" t="s">
        <v>398</v>
      </c>
      <c r="D118" s="149">
        <v>600</v>
      </c>
      <c r="E118" s="150">
        <v>600</v>
      </c>
      <c r="F118" s="148">
        <v>0</v>
      </c>
      <c r="G118" s="149">
        <f t="shared" si="2"/>
        <v>0</v>
      </c>
    </row>
    <row r="119" spans="1:7" s="196" customFormat="1" ht="15.75">
      <c r="A119" s="93">
        <v>1016092001</v>
      </c>
      <c r="B119" s="224">
        <v>3635</v>
      </c>
      <c r="C119" s="151" t="s">
        <v>399</v>
      </c>
      <c r="D119" s="149">
        <v>1405</v>
      </c>
      <c r="E119" s="150">
        <v>1405</v>
      </c>
      <c r="F119" s="148">
        <v>0</v>
      </c>
      <c r="G119" s="149">
        <f t="shared" si="2"/>
        <v>0</v>
      </c>
    </row>
    <row r="120" spans="1:7" s="196" customFormat="1" ht="15.75">
      <c r="A120" s="93">
        <v>1060000000</v>
      </c>
      <c r="B120" s="224">
        <v>3726</v>
      </c>
      <c r="C120" s="151" t="s">
        <v>400</v>
      </c>
      <c r="D120" s="149">
        <v>0</v>
      </c>
      <c r="E120" s="150">
        <f>1935.5+54</f>
        <v>1989.5</v>
      </c>
      <c r="F120" s="148">
        <f>0+23.7</f>
        <v>23.7</v>
      </c>
      <c r="G120" s="149">
        <f t="shared" si="2"/>
        <v>1.1912540839406884</v>
      </c>
    </row>
    <row r="121" spans="1:7" s="196" customFormat="1" ht="15.75">
      <c r="A121" s="93">
        <v>1066000000</v>
      </c>
      <c r="B121" s="224">
        <v>3745</v>
      </c>
      <c r="C121" s="151" t="s">
        <v>401</v>
      </c>
      <c r="D121" s="149">
        <v>0</v>
      </c>
      <c r="E121" s="150">
        <v>58.7</v>
      </c>
      <c r="F121" s="148">
        <v>58.7</v>
      </c>
      <c r="G121" s="149">
        <f t="shared" si="2"/>
        <v>100</v>
      </c>
    </row>
    <row r="122" spans="1:7" s="196" customFormat="1" ht="15.75">
      <c r="A122" s="93">
        <v>1069000000</v>
      </c>
      <c r="B122" s="224">
        <v>3745</v>
      </c>
      <c r="C122" s="151" t="s">
        <v>402</v>
      </c>
      <c r="D122" s="149">
        <v>0</v>
      </c>
      <c r="E122" s="150">
        <v>1114.4</v>
      </c>
      <c r="F122" s="148">
        <v>0</v>
      </c>
      <c r="G122" s="149">
        <f t="shared" si="2"/>
        <v>0</v>
      </c>
    </row>
    <row r="123" spans="1:7" s="196" customFormat="1" ht="15.75">
      <c r="A123" s="93">
        <v>1070000000</v>
      </c>
      <c r="B123" s="224">
        <v>3745</v>
      </c>
      <c r="C123" s="151" t="s">
        <v>403</v>
      </c>
      <c r="D123" s="149">
        <v>0</v>
      </c>
      <c r="E123" s="150">
        <v>285</v>
      </c>
      <c r="F123" s="148">
        <v>0</v>
      </c>
      <c r="G123" s="149">
        <f t="shared" si="2"/>
        <v>0</v>
      </c>
    </row>
    <row r="124" spans="1:7" s="196" customFormat="1" ht="15.75">
      <c r="A124" s="93">
        <v>1071000000</v>
      </c>
      <c r="B124" s="224">
        <v>3745</v>
      </c>
      <c r="C124" s="151" t="s">
        <v>404</v>
      </c>
      <c r="D124" s="149">
        <v>0</v>
      </c>
      <c r="E124" s="150">
        <v>237.9</v>
      </c>
      <c r="F124" s="148">
        <v>0</v>
      </c>
      <c r="G124" s="149">
        <f t="shared" si="2"/>
        <v>0</v>
      </c>
    </row>
    <row r="125" spans="1:7" s="196" customFormat="1" ht="15.75">
      <c r="A125" s="93">
        <v>1040000000</v>
      </c>
      <c r="B125" s="224">
        <v>4349</v>
      </c>
      <c r="C125" s="151" t="s">
        <v>405</v>
      </c>
      <c r="D125" s="149">
        <v>0</v>
      </c>
      <c r="E125" s="150">
        <v>116.9</v>
      </c>
      <c r="F125" s="77">
        <v>116.9</v>
      </c>
      <c r="G125" s="149">
        <f t="shared" si="2"/>
        <v>100</v>
      </c>
    </row>
    <row r="126" spans="1:7" s="196" customFormat="1" ht="15.75">
      <c r="A126" s="93">
        <v>1041000000</v>
      </c>
      <c r="B126" s="224">
        <v>4349</v>
      </c>
      <c r="C126" s="151" t="s">
        <v>406</v>
      </c>
      <c r="D126" s="149">
        <v>0</v>
      </c>
      <c r="E126" s="150">
        <v>367.5</v>
      </c>
      <c r="F126" s="77">
        <v>367.4</v>
      </c>
      <c r="G126" s="149">
        <f t="shared" si="2"/>
        <v>99.97278911564625</v>
      </c>
    </row>
    <row r="127" spans="1:7" s="196" customFormat="1" ht="15.75">
      <c r="A127" s="93">
        <v>1053000000</v>
      </c>
      <c r="B127" s="224">
        <v>4349</v>
      </c>
      <c r="C127" s="151" t="s">
        <v>407</v>
      </c>
      <c r="D127" s="149">
        <v>0</v>
      </c>
      <c r="E127" s="150">
        <v>497</v>
      </c>
      <c r="F127" s="148">
        <v>47</v>
      </c>
      <c r="G127" s="149">
        <f t="shared" si="2"/>
        <v>9.456740442655935</v>
      </c>
    </row>
    <row r="128" spans="1:7" s="196" customFormat="1" ht="15.75">
      <c r="A128" s="93">
        <v>1001081012</v>
      </c>
      <c r="B128" s="224">
        <v>4357</v>
      </c>
      <c r="C128" s="151" t="s">
        <v>408</v>
      </c>
      <c r="D128" s="149">
        <v>500</v>
      </c>
      <c r="E128" s="150">
        <v>500</v>
      </c>
      <c r="F128" s="148">
        <v>492.5</v>
      </c>
      <c r="G128" s="149">
        <f t="shared" si="2"/>
        <v>98.5</v>
      </c>
    </row>
    <row r="129" spans="1:82" s="190" customFormat="1" ht="15">
      <c r="A129" s="256">
        <v>1065000000</v>
      </c>
      <c r="B129" s="257">
        <v>4357</v>
      </c>
      <c r="C129" s="256" t="s">
        <v>409</v>
      </c>
      <c r="D129" s="149">
        <v>0</v>
      </c>
      <c r="E129" s="150">
        <v>792</v>
      </c>
      <c r="F129" s="148">
        <v>0</v>
      </c>
      <c r="G129" s="149">
        <f t="shared" si="2"/>
        <v>0</v>
      </c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</row>
    <row r="130" spans="1:7" s="196" customFormat="1" ht="15.75">
      <c r="A130" s="93">
        <v>1008010025</v>
      </c>
      <c r="B130" s="224">
        <v>4374</v>
      </c>
      <c r="C130" s="151" t="s">
        <v>410</v>
      </c>
      <c r="D130" s="149">
        <v>500</v>
      </c>
      <c r="E130" s="150">
        <v>500</v>
      </c>
      <c r="F130" s="148">
        <v>0</v>
      </c>
      <c r="G130" s="149">
        <f t="shared" si="2"/>
        <v>0</v>
      </c>
    </row>
    <row r="131" spans="1:7" s="196" customFormat="1" ht="15.75">
      <c r="A131" s="93">
        <v>1050000000</v>
      </c>
      <c r="B131" s="224">
        <v>6171</v>
      </c>
      <c r="C131" s="151" t="s">
        <v>411</v>
      </c>
      <c r="D131" s="149">
        <v>2700</v>
      </c>
      <c r="E131" s="150">
        <v>2236.9</v>
      </c>
      <c r="F131" s="148">
        <v>2236.9</v>
      </c>
      <c r="G131" s="149">
        <f t="shared" si="2"/>
        <v>100</v>
      </c>
    </row>
    <row r="132" spans="1:7" s="196" customFormat="1" ht="15.75">
      <c r="A132" s="93"/>
      <c r="B132" s="224"/>
      <c r="C132" s="151"/>
      <c r="D132" s="149"/>
      <c r="E132" s="150"/>
      <c r="F132" s="148"/>
      <c r="G132" s="149"/>
    </row>
    <row r="133" spans="1:7" s="202" customFormat="1" ht="16.5" customHeight="1">
      <c r="A133" s="115"/>
      <c r="B133" s="258"/>
      <c r="C133" s="114" t="s">
        <v>412</v>
      </c>
      <c r="D133" s="259">
        <f>SUM(D84:D132)</f>
        <v>116933</v>
      </c>
      <c r="E133" s="260">
        <f>SUM(E84:E132)</f>
        <v>126324.49999999997</v>
      </c>
      <c r="F133" s="261">
        <f>SUM(F84:F132)</f>
        <v>7772.4</v>
      </c>
      <c r="G133" s="149">
        <f t="shared" si="2"/>
        <v>6.152725718289011</v>
      </c>
    </row>
    <row r="134" spans="1:7" s="202" customFormat="1" ht="16.5" customHeight="1" hidden="1">
      <c r="A134" s="115"/>
      <c r="B134" s="258"/>
      <c r="C134" s="114" t="s">
        <v>413</v>
      </c>
      <c r="D134" s="259" t="e">
        <f>SUM(#REF!+#REF!+#REF!+#REF!)</f>
        <v>#REF!</v>
      </c>
      <c r="E134" s="260" t="e">
        <f>SUM(#REF!+92+#REF!+#REF!)</f>
        <v>#REF!</v>
      </c>
      <c r="F134" s="261" t="e">
        <f>SUM(#REF!+#REF!+#REF!+#REF!)</f>
        <v>#REF!</v>
      </c>
      <c r="G134" s="149" t="e">
        <f>(#REF!/E134)*100</f>
        <v>#REF!</v>
      </c>
    </row>
    <row r="135" spans="1:7" s="196" customFormat="1" ht="15.75" customHeight="1" thickBot="1">
      <c r="A135" s="93"/>
      <c r="B135" s="224"/>
      <c r="C135" s="151"/>
      <c r="D135" s="149"/>
      <c r="E135" s="150"/>
      <c r="F135" s="148"/>
      <c r="G135" s="149"/>
    </row>
    <row r="136" spans="1:7" s="196" customFormat="1" ht="12.75" customHeight="1" hidden="1" thickBot="1">
      <c r="A136" s="262"/>
      <c r="B136" s="263"/>
      <c r="C136" s="264"/>
      <c r="D136" s="265"/>
      <c r="E136" s="266"/>
      <c r="F136" s="267"/>
      <c r="G136" s="265"/>
    </row>
    <row r="137" spans="1:7" s="191" customFormat="1" ht="18.75" customHeight="1" thickBot="1" thickTop="1">
      <c r="A137" s="268"/>
      <c r="B137" s="235"/>
      <c r="C137" s="269" t="s">
        <v>414</v>
      </c>
      <c r="D137" s="237">
        <f>SUM(D82,D133)</f>
        <v>188459</v>
      </c>
      <c r="E137" s="238">
        <f>SUM(E82,E133)</f>
        <v>209134.69999999998</v>
      </c>
      <c r="F137" s="239">
        <f>SUM(F82,F133)</f>
        <v>56176.1</v>
      </c>
      <c r="G137" s="237">
        <f>(F137/E137)*100</f>
        <v>26.861204764202213</v>
      </c>
    </row>
    <row r="138" spans="1:7" s="196" customFormat="1" ht="16.5" customHeight="1">
      <c r="A138" s="240"/>
      <c r="B138" s="270"/>
      <c r="C138" s="240"/>
      <c r="D138" s="242"/>
      <c r="E138" s="271"/>
      <c r="F138" s="200"/>
      <c r="G138" s="200"/>
    </row>
    <row r="139" spans="1:7" s="191" customFormat="1" ht="12.75" customHeight="1" hidden="1">
      <c r="A139" s="190"/>
      <c r="B139" s="193"/>
      <c r="C139" s="240"/>
      <c r="D139" s="242"/>
      <c r="E139" s="242"/>
      <c r="F139" s="242"/>
      <c r="G139" s="242"/>
    </row>
    <row r="140" spans="1:7" s="191" customFormat="1" ht="12.75" customHeight="1" hidden="1">
      <c r="A140" s="190"/>
      <c r="B140" s="193"/>
      <c r="C140" s="240"/>
      <c r="D140" s="242"/>
      <c r="E140" s="242"/>
      <c r="F140" s="242"/>
      <c r="G140" s="242"/>
    </row>
    <row r="141" spans="1:7" s="191" customFormat="1" ht="12.75" customHeight="1" hidden="1">
      <c r="A141" s="190"/>
      <c r="B141" s="193"/>
      <c r="C141" s="240"/>
      <c r="D141" s="242"/>
      <c r="E141" s="242"/>
      <c r="F141" s="242"/>
      <c r="G141" s="242"/>
    </row>
    <row r="142" spans="1:7" s="191" customFormat="1" ht="12.75" customHeight="1" hidden="1">
      <c r="A142" s="190"/>
      <c r="B142" s="193"/>
      <c r="C142" s="240"/>
      <c r="D142" s="242"/>
      <c r="E142" s="242"/>
      <c r="F142" s="242"/>
      <c r="G142" s="242"/>
    </row>
    <row r="143" spans="1:7" s="191" customFormat="1" ht="12.75" customHeight="1" hidden="1">
      <c r="A143" s="190"/>
      <c r="B143" s="193"/>
      <c r="C143" s="240"/>
      <c r="D143" s="242"/>
      <c r="E143" s="242"/>
      <c r="F143" s="242"/>
      <c r="G143" s="242"/>
    </row>
    <row r="144" spans="1:7" s="191" customFormat="1" ht="12.75" customHeight="1" hidden="1">
      <c r="A144" s="190"/>
      <c r="B144" s="193"/>
      <c r="C144" s="240"/>
      <c r="D144" s="242"/>
      <c r="E144" s="242"/>
      <c r="F144" s="242"/>
      <c r="G144" s="242"/>
    </row>
    <row r="145" spans="1:7" s="191" customFormat="1" ht="15.75" customHeight="1" thickBot="1">
      <c r="A145" s="190"/>
      <c r="B145" s="193"/>
      <c r="C145" s="240"/>
      <c r="D145" s="242"/>
      <c r="E145" s="207"/>
      <c r="F145" s="207"/>
      <c r="G145" s="207"/>
    </row>
    <row r="146" spans="1:7" s="191" customFormat="1" ht="15.75">
      <c r="A146" s="211" t="s">
        <v>25</v>
      </c>
      <c r="B146" s="212" t="s">
        <v>26</v>
      </c>
      <c r="C146" s="211" t="s">
        <v>28</v>
      </c>
      <c r="D146" s="211" t="s">
        <v>29</v>
      </c>
      <c r="E146" s="211" t="s">
        <v>29</v>
      </c>
      <c r="F146" s="59" t="s">
        <v>8</v>
      </c>
      <c r="G146" s="211" t="s">
        <v>306</v>
      </c>
    </row>
    <row r="147" spans="1:7" s="191" customFormat="1" ht="15.75" customHeight="1" thickBot="1">
      <c r="A147" s="213"/>
      <c r="B147" s="214"/>
      <c r="C147" s="215"/>
      <c r="D147" s="216" t="s">
        <v>31</v>
      </c>
      <c r="E147" s="216" t="s">
        <v>32</v>
      </c>
      <c r="F147" s="63" t="s">
        <v>33</v>
      </c>
      <c r="G147" s="216" t="s">
        <v>307</v>
      </c>
    </row>
    <row r="148" spans="1:7" s="191" customFormat="1" ht="16.5" customHeight="1" thickTop="1">
      <c r="A148" s="217">
        <v>30</v>
      </c>
      <c r="B148" s="217"/>
      <c r="C148" s="115" t="s">
        <v>123</v>
      </c>
      <c r="D148" s="123"/>
      <c r="E148" s="121"/>
      <c r="F148" s="122"/>
      <c r="G148" s="123"/>
    </row>
    <row r="149" spans="1:7" s="191" customFormat="1" ht="16.5" customHeight="1">
      <c r="A149" s="272">
        <v>31</v>
      </c>
      <c r="B149" s="272"/>
      <c r="C149" s="115"/>
      <c r="D149" s="149"/>
      <c r="E149" s="150"/>
      <c r="F149" s="148"/>
      <c r="G149" s="149"/>
    </row>
    <row r="150" spans="1:7" s="191" customFormat="1" ht="15">
      <c r="A150" s="93"/>
      <c r="B150" s="273">
        <v>3341</v>
      </c>
      <c r="C150" s="190" t="s">
        <v>415</v>
      </c>
      <c r="D150" s="149">
        <v>30</v>
      </c>
      <c r="E150" s="150">
        <v>30</v>
      </c>
      <c r="F150" s="148">
        <v>10.9</v>
      </c>
      <c r="G150" s="149">
        <f aca="true" t="shared" si="3" ref="G150:G160">(F150/E150)*100</f>
        <v>36.333333333333336</v>
      </c>
    </row>
    <row r="151" spans="1:7" s="191" customFormat="1" ht="15.75" customHeight="1">
      <c r="A151" s="93"/>
      <c r="B151" s="273">
        <v>3349</v>
      </c>
      <c r="C151" s="151" t="s">
        <v>416</v>
      </c>
      <c r="D151" s="149">
        <v>735</v>
      </c>
      <c r="E151" s="150">
        <v>735</v>
      </c>
      <c r="F151" s="148">
        <v>441.9</v>
      </c>
      <c r="G151" s="149">
        <f t="shared" si="3"/>
        <v>60.12244897959184</v>
      </c>
    </row>
    <row r="152" spans="1:7" s="191" customFormat="1" ht="15.75" customHeight="1">
      <c r="A152" s="93"/>
      <c r="B152" s="273">
        <v>5212</v>
      </c>
      <c r="C152" s="93" t="s">
        <v>417</v>
      </c>
      <c r="D152" s="274">
        <v>20</v>
      </c>
      <c r="E152" s="275">
        <v>20</v>
      </c>
      <c r="F152" s="148">
        <v>0</v>
      </c>
      <c r="G152" s="149">
        <f t="shared" si="3"/>
        <v>0</v>
      </c>
    </row>
    <row r="153" spans="1:7" s="191" customFormat="1" ht="15.75" customHeight="1">
      <c r="A153" s="93"/>
      <c r="B153" s="273">
        <v>5279</v>
      </c>
      <c r="C153" s="93" t="s">
        <v>418</v>
      </c>
      <c r="D153" s="274">
        <v>50</v>
      </c>
      <c r="E153" s="275">
        <v>50</v>
      </c>
      <c r="F153" s="148">
        <v>0</v>
      </c>
      <c r="G153" s="149">
        <f t="shared" si="3"/>
        <v>0</v>
      </c>
    </row>
    <row r="154" spans="1:7" s="191" customFormat="1" ht="15">
      <c r="A154" s="93"/>
      <c r="B154" s="273">
        <v>5512</v>
      </c>
      <c r="C154" s="190" t="s">
        <v>419</v>
      </c>
      <c r="D154" s="149">
        <v>3838</v>
      </c>
      <c r="E154" s="150">
        <v>3838</v>
      </c>
      <c r="F154" s="148">
        <v>1494.1</v>
      </c>
      <c r="G154" s="149">
        <f t="shared" si="3"/>
        <v>38.92912975508077</v>
      </c>
    </row>
    <row r="155" spans="1:7" s="191" customFormat="1" ht="15.75" customHeight="1">
      <c r="A155" s="93"/>
      <c r="B155" s="273">
        <v>6112</v>
      </c>
      <c r="C155" s="151" t="s">
        <v>420</v>
      </c>
      <c r="D155" s="149">
        <v>4988.3</v>
      </c>
      <c r="E155" s="150">
        <v>4991.3</v>
      </c>
      <c r="F155" s="148">
        <v>2932.6</v>
      </c>
      <c r="G155" s="149">
        <f t="shared" si="3"/>
        <v>58.75423236431391</v>
      </c>
    </row>
    <row r="156" spans="1:7" s="191" customFormat="1" ht="15.75" customHeight="1" hidden="1">
      <c r="A156" s="93"/>
      <c r="B156" s="273">
        <v>6114</v>
      </c>
      <c r="C156" s="151" t="s">
        <v>421</v>
      </c>
      <c r="D156" s="149">
        <v>0</v>
      </c>
      <c r="E156" s="150"/>
      <c r="F156" s="148"/>
      <c r="G156" s="149" t="e">
        <f t="shared" si="3"/>
        <v>#DIV/0!</v>
      </c>
    </row>
    <row r="157" spans="1:7" s="191" customFormat="1" ht="15.75" customHeight="1" hidden="1">
      <c r="A157" s="93"/>
      <c r="B157" s="273">
        <v>6115</v>
      </c>
      <c r="C157" s="151" t="s">
        <v>422</v>
      </c>
      <c r="D157" s="149">
        <v>0</v>
      </c>
      <c r="E157" s="150"/>
      <c r="F157" s="148"/>
      <c r="G157" s="149" t="e">
        <f t="shared" si="3"/>
        <v>#DIV/0!</v>
      </c>
    </row>
    <row r="158" spans="1:7" s="191" customFormat="1" ht="15.75" customHeight="1">
      <c r="A158" s="93"/>
      <c r="B158" s="273">
        <v>6118</v>
      </c>
      <c r="C158" s="151" t="s">
        <v>423</v>
      </c>
      <c r="D158" s="274">
        <v>0</v>
      </c>
      <c r="E158" s="275">
        <v>653</v>
      </c>
      <c r="F158" s="148">
        <v>469.4</v>
      </c>
      <c r="G158" s="149">
        <f t="shared" si="3"/>
        <v>71.88361408882082</v>
      </c>
    </row>
    <row r="159" spans="1:7" s="191" customFormat="1" ht="15.75" customHeight="1" hidden="1">
      <c r="A159" s="93"/>
      <c r="B159" s="273">
        <v>6149</v>
      </c>
      <c r="C159" s="151" t="s">
        <v>424</v>
      </c>
      <c r="D159" s="274">
        <v>0</v>
      </c>
      <c r="E159" s="275">
        <v>0</v>
      </c>
      <c r="F159" s="148"/>
      <c r="G159" s="149" t="e">
        <f t="shared" si="3"/>
        <v>#DIV/0!</v>
      </c>
    </row>
    <row r="160" spans="1:7" s="191" customFormat="1" ht="17.25" customHeight="1">
      <c r="A160" s="273" t="s">
        <v>425</v>
      </c>
      <c r="B160" s="273">
        <v>6171</v>
      </c>
      <c r="C160" s="151" t="s">
        <v>426</v>
      </c>
      <c r="D160" s="149">
        <f>100227+200</f>
        <v>100427</v>
      </c>
      <c r="E160" s="150">
        <f>105227.7+220</f>
        <v>105447.7</v>
      </c>
      <c r="F160" s="148">
        <f>59705+120.9</f>
        <v>59825.9</v>
      </c>
      <c r="G160" s="149">
        <f t="shared" si="3"/>
        <v>56.735139789677724</v>
      </c>
    </row>
    <row r="161" spans="1:7" s="191" customFormat="1" ht="15.75" customHeight="1" thickBot="1">
      <c r="A161" s="276"/>
      <c r="B161" s="277"/>
      <c r="C161" s="278"/>
      <c r="D161" s="274"/>
      <c r="E161" s="275"/>
      <c r="F161" s="279"/>
      <c r="G161" s="274"/>
    </row>
    <row r="162" spans="1:7" s="191" customFormat="1" ht="18.75" customHeight="1" thickBot="1" thickTop="1">
      <c r="A162" s="268"/>
      <c r="B162" s="280"/>
      <c r="C162" s="281" t="s">
        <v>427</v>
      </c>
      <c r="D162" s="237">
        <f>SUM(D150:D161)</f>
        <v>110088.3</v>
      </c>
      <c r="E162" s="238">
        <f>SUM(E150:E161)</f>
        <v>115765</v>
      </c>
      <c r="F162" s="239">
        <f>SUM(F150:F161)</f>
        <v>65174.8</v>
      </c>
      <c r="G162" s="237">
        <f>(F162/E162)*100</f>
        <v>56.29922688204553</v>
      </c>
    </row>
    <row r="163" spans="1:7" s="191" customFormat="1" ht="15.75" customHeight="1">
      <c r="A163" s="190"/>
      <c r="B163" s="193"/>
      <c r="C163" s="240"/>
      <c r="D163" s="242"/>
      <c r="E163" s="282"/>
      <c r="F163" s="242"/>
      <c r="G163" s="242"/>
    </row>
    <row r="164" spans="1:7" s="191" customFormat="1" ht="12.75" customHeight="1" hidden="1">
      <c r="A164" s="190"/>
      <c r="B164" s="193"/>
      <c r="C164" s="240"/>
      <c r="D164" s="242"/>
      <c r="E164" s="242"/>
      <c r="F164" s="242"/>
      <c r="G164" s="242"/>
    </row>
    <row r="165" spans="1:7" s="191" customFormat="1" ht="12.75" customHeight="1" hidden="1">
      <c r="A165" s="190"/>
      <c r="B165" s="193"/>
      <c r="C165" s="240"/>
      <c r="D165" s="242"/>
      <c r="E165" s="242"/>
      <c r="F165" s="242"/>
      <c r="G165" s="242"/>
    </row>
    <row r="166" spans="1:7" s="191" customFormat="1" ht="12.75" customHeight="1" hidden="1">
      <c r="A166" s="190"/>
      <c r="B166" s="193"/>
      <c r="C166" s="240"/>
      <c r="D166" s="242"/>
      <c r="E166" s="242"/>
      <c r="F166" s="242"/>
      <c r="G166" s="242"/>
    </row>
    <row r="167" spans="1:7" s="191" customFormat="1" ht="12.75" customHeight="1" hidden="1">
      <c r="A167" s="190"/>
      <c r="B167" s="193"/>
      <c r="C167" s="240"/>
      <c r="D167" s="242"/>
      <c r="E167" s="242"/>
      <c r="F167" s="242"/>
      <c r="G167" s="242"/>
    </row>
    <row r="168" spans="1:7" s="191" customFormat="1" ht="15.75" customHeight="1" thickBot="1">
      <c r="A168" s="190"/>
      <c r="B168" s="193"/>
      <c r="C168" s="240"/>
      <c r="D168" s="242"/>
      <c r="E168" s="242"/>
      <c r="F168" s="242"/>
      <c r="G168" s="242"/>
    </row>
    <row r="169" spans="1:7" s="191" customFormat="1" ht="15.75">
      <c r="A169" s="211" t="s">
        <v>25</v>
      </c>
      <c r="B169" s="212" t="s">
        <v>26</v>
      </c>
      <c r="C169" s="211" t="s">
        <v>28</v>
      </c>
      <c r="D169" s="211" t="s">
        <v>29</v>
      </c>
      <c r="E169" s="211" t="s">
        <v>29</v>
      </c>
      <c r="F169" s="59" t="s">
        <v>8</v>
      </c>
      <c r="G169" s="211" t="s">
        <v>306</v>
      </c>
    </row>
    <row r="170" spans="1:7" s="191" customFormat="1" ht="15.75" customHeight="1" thickBot="1">
      <c r="A170" s="213"/>
      <c r="B170" s="214"/>
      <c r="C170" s="215"/>
      <c r="D170" s="216" t="s">
        <v>31</v>
      </c>
      <c r="E170" s="216" t="s">
        <v>32</v>
      </c>
      <c r="F170" s="63" t="s">
        <v>33</v>
      </c>
      <c r="G170" s="216" t="s">
        <v>307</v>
      </c>
    </row>
    <row r="171" spans="1:7" s="191" customFormat="1" ht="16.5" thickTop="1">
      <c r="A171" s="217">
        <v>50</v>
      </c>
      <c r="B171" s="218"/>
      <c r="C171" s="219" t="s">
        <v>154</v>
      </c>
      <c r="D171" s="123"/>
      <c r="E171" s="121"/>
      <c r="F171" s="122"/>
      <c r="G171" s="123"/>
    </row>
    <row r="172" spans="1:7" s="191" customFormat="1" ht="14.25" customHeight="1">
      <c r="A172" s="217"/>
      <c r="B172" s="218"/>
      <c r="C172" s="219"/>
      <c r="D172" s="123"/>
      <c r="E172" s="121"/>
      <c r="F172" s="122"/>
      <c r="G172" s="123"/>
    </row>
    <row r="173" spans="1:7" s="191" customFormat="1" ht="15">
      <c r="A173" s="93"/>
      <c r="B173" s="224">
        <v>3541</v>
      </c>
      <c r="C173" s="93" t="s">
        <v>428</v>
      </c>
      <c r="D173" s="105">
        <v>400</v>
      </c>
      <c r="E173" s="71">
        <v>400</v>
      </c>
      <c r="F173" s="72">
        <v>300</v>
      </c>
      <c r="G173" s="149">
        <f aca="true" t="shared" si="4" ref="G173:G189">(F173/E173)*100</f>
        <v>75</v>
      </c>
    </row>
    <row r="174" spans="1:7" s="191" customFormat="1" ht="15">
      <c r="A174" s="93"/>
      <c r="B174" s="224">
        <v>3599</v>
      </c>
      <c r="C174" s="93" t="s">
        <v>429</v>
      </c>
      <c r="D174" s="105">
        <v>3</v>
      </c>
      <c r="E174" s="71">
        <v>5</v>
      </c>
      <c r="F174" s="72">
        <v>4.7</v>
      </c>
      <c r="G174" s="149">
        <f t="shared" si="4"/>
        <v>94</v>
      </c>
    </row>
    <row r="175" spans="1:7" s="191" customFormat="1" ht="15">
      <c r="A175" s="93"/>
      <c r="B175" s="224">
        <v>4193</v>
      </c>
      <c r="C175" s="93" t="s">
        <v>430</v>
      </c>
      <c r="D175" s="105">
        <v>0</v>
      </c>
      <c r="E175" s="71">
        <v>19.4</v>
      </c>
      <c r="F175" s="72">
        <v>0</v>
      </c>
      <c r="G175" s="149">
        <f t="shared" si="4"/>
        <v>0</v>
      </c>
    </row>
    <row r="176" spans="1:7" s="191" customFormat="1" ht="15">
      <c r="A176" s="256"/>
      <c r="B176" s="224">
        <v>4329</v>
      </c>
      <c r="C176" s="93" t="s">
        <v>431</v>
      </c>
      <c r="D176" s="105">
        <v>40</v>
      </c>
      <c r="E176" s="71">
        <v>50</v>
      </c>
      <c r="F176" s="72">
        <v>46</v>
      </c>
      <c r="G176" s="149">
        <f t="shared" si="4"/>
        <v>92</v>
      </c>
    </row>
    <row r="177" spans="1:7" s="191" customFormat="1" ht="15">
      <c r="A177" s="93"/>
      <c r="B177" s="224">
        <v>4333</v>
      </c>
      <c r="C177" s="93" t="s">
        <v>432</v>
      </c>
      <c r="D177" s="105">
        <v>150</v>
      </c>
      <c r="E177" s="71">
        <v>150</v>
      </c>
      <c r="F177" s="72">
        <v>112.5</v>
      </c>
      <c r="G177" s="149">
        <f t="shared" si="4"/>
        <v>75</v>
      </c>
    </row>
    <row r="178" spans="1:7" s="191" customFormat="1" ht="15" customHeight="1" hidden="1">
      <c r="A178" s="93"/>
      <c r="B178" s="224">
        <v>4341</v>
      </c>
      <c r="C178" s="93" t="s">
        <v>433</v>
      </c>
      <c r="D178" s="105">
        <v>0</v>
      </c>
      <c r="E178" s="71">
        <v>0</v>
      </c>
      <c r="F178" s="72"/>
      <c r="G178" s="149" t="e">
        <f t="shared" si="4"/>
        <v>#DIV/0!</v>
      </c>
    </row>
    <row r="179" spans="1:7" s="191" customFormat="1" ht="15">
      <c r="A179" s="93"/>
      <c r="B179" s="224">
        <v>4342</v>
      </c>
      <c r="C179" s="93" t="s">
        <v>434</v>
      </c>
      <c r="D179" s="105">
        <v>20</v>
      </c>
      <c r="E179" s="71">
        <v>0.6</v>
      </c>
      <c r="F179" s="72">
        <v>0</v>
      </c>
      <c r="G179" s="149">
        <f t="shared" si="4"/>
        <v>0</v>
      </c>
    </row>
    <row r="180" spans="1:7" s="191" customFormat="1" ht="15">
      <c r="A180" s="93"/>
      <c r="B180" s="224">
        <v>4343</v>
      </c>
      <c r="C180" s="93" t="s">
        <v>435</v>
      </c>
      <c r="D180" s="105">
        <v>50</v>
      </c>
      <c r="E180" s="71">
        <v>50</v>
      </c>
      <c r="F180" s="72">
        <v>0</v>
      </c>
      <c r="G180" s="149">
        <f t="shared" si="4"/>
        <v>0</v>
      </c>
    </row>
    <row r="181" spans="1:7" s="191" customFormat="1" ht="15">
      <c r="A181" s="93"/>
      <c r="B181" s="224">
        <v>4349</v>
      </c>
      <c r="C181" s="93" t="s">
        <v>436</v>
      </c>
      <c r="D181" s="105">
        <v>530</v>
      </c>
      <c r="E181" s="71">
        <v>799.1</v>
      </c>
      <c r="F181" s="72">
        <v>492.5</v>
      </c>
      <c r="G181" s="149">
        <f t="shared" si="4"/>
        <v>61.6318358152922</v>
      </c>
    </row>
    <row r="182" spans="1:7" s="191" customFormat="1" ht="15">
      <c r="A182" s="256"/>
      <c r="B182" s="283">
        <v>4351</v>
      </c>
      <c r="C182" s="256" t="s">
        <v>437</v>
      </c>
      <c r="D182" s="105">
        <v>2124</v>
      </c>
      <c r="E182" s="71">
        <v>2132.9</v>
      </c>
      <c r="F182" s="72">
        <v>1600.4</v>
      </c>
      <c r="G182" s="149">
        <f t="shared" si="4"/>
        <v>75.03399127947864</v>
      </c>
    </row>
    <row r="183" spans="1:7" s="191" customFormat="1" ht="15">
      <c r="A183" s="256"/>
      <c r="B183" s="283">
        <v>4356</v>
      </c>
      <c r="C183" s="256" t="s">
        <v>438</v>
      </c>
      <c r="D183" s="105">
        <v>600</v>
      </c>
      <c r="E183" s="71">
        <v>600</v>
      </c>
      <c r="F183" s="72">
        <v>450</v>
      </c>
      <c r="G183" s="149">
        <f t="shared" si="4"/>
        <v>75</v>
      </c>
    </row>
    <row r="184" spans="1:7" s="191" customFormat="1" ht="15">
      <c r="A184" s="256"/>
      <c r="B184" s="283">
        <v>4357</v>
      </c>
      <c r="C184" s="256" t="s">
        <v>439</v>
      </c>
      <c r="D184" s="105">
        <v>8200</v>
      </c>
      <c r="E184" s="71">
        <v>8200</v>
      </c>
      <c r="F184" s="72">
        <v>8200</v>
      </c>
      <c r="G184" s="149">
        <f t="shared" si="4"/>
        <v>100</v>
      </c>
    </row>
    <row r="185" spans="1:7" s="191" customFormat="1" ht="15">
      <c r="A185" s="256"/>
      <c r="B185" s="283">
        <v>4357</v>
      </c>
      <c r="C185" s="256" t="s">
        <v>440</v>
      </c>
      <c r="D185" s="105">
        <v>500</v>
      </c>
      <c r="E185" s="71">
        <v>500</v>
      </c>
      <c r="F185" s="72">
        <v>375</v>
      </c>
      <c r="G185" s="149">
        <f t="shared" si="4"/>
        <v>75</v>
      </c>
    </row>
    <row r="186" spans="1:7" s="191" customFormat="1" ht="15">
      <c r="A186" s="256"/>
      <c r="B186" s="284">
        <v>4359</v>
      </c>
      <c r="C186" s="285" t="s">
        <v>441</v>
      </c>
      <c r="D186" s="286">
        <v>100</v>
      </c>
      <c r="E186" s="76">
        <v>100</v>
      </c>
      <c r="F186" s="77">
        <v>100</v>
      </c>
      <c r="G186" s="149">
        <f t="shared" si="4"/>
        <v>100</v>
      </c>
    </row>
    <row r="187" spans="1:7" s="191" customFormat="1" ht="15">
      <c r="A187" s="93"/>
      <c r="B187" s="224">
        <v>4371</v>
      </c>
      <c r="C187" s="253" t="s">
        <v>442</v>
      </c>
      <c r="D187" s="105">
        <v>520</v>
      </c>
      <c r="E187" s="71">
        <v>520</v>
      </c>
      <c r="F187" s="72">
        <v>390</v>
      </c>
      <c r="G187" s="149">
        <f t="shared" si="4"/>
        <v>75</v>
      </c>
    </row>
    <row r="188" spans="1:7" s="191" customFormat="1" ht="15">
      <c r="A188" s="93"/>
      <c r="B188" s="224">
        <v>4374</v>
      </c>
      <c r="C188" s="93" t="s">
        <v>443</v>
      </c>
      <c r="D188" s="105">
        <v>300</v>
      </c>
      <c r="E188" s="71">
        <v>300</v>
      </c>
      <c r="F188" s="72">
        <v>225</v>
      </c>
      <c r="G188" s="149">
        <f t="shared" si="4"/>
        <v>75</v>
      </c>
    </row>
    <row r="189" spans="1:7" s="191" customFormat="1" ht="15">
      <c r="A189" s="256"/>
      <c r="B189" s="283">
        <v>4399</v>
      </c>
      <c r="C189" s="256" t="s">
        <v>444</v>
      </c>
      <c r="D189" s="286">
        <v>60</v>
      </c>
      <c r="E189" s="76">
        <v>256</v>
      </c>
      <c r="F189" s="77">
        <v>17.5</v>
      </c>
      <c r="G189" s="149">
        <f t="shared" si="4"/>
        <v>6.8359375</v>
      </c>
    </row>
    <row r="190" spans="1:7" s="191" customFormat="1" ht="15" hidden="1">
      <c r="A190" s="256"/>
      <c r="B190" s="283">
        <v>6402</v>
      </c>
      <c r="C190" s="256" t="s">
        <v>445</v>
      </c>
      <c r="D190" s="274"/>
      <c r="E190" s="275"/>
      <c r="F190" s="77"/>
      <c r="G190" s="149" t="e">
        <f>(#REF!/E190)*100</f>
        <v>#REF!</v>
      </c>
    </row>
    <row r="191" spans="1:7" s="191" customFormat="1" ht="15" customHeight="1" hidden="1">
      <c r="A191" s="256"/>
      <c r="B191" s="283">
        <v>6409</v>
      </c>
      <c r="C191" s="256" t="s">
        <v>446</v>
      </c>
      <c r="D191" s="274">
        <v>0</v>
      </c>
      <c r="E191" s="275">
        <v>0</v>
      </c>
      <c r="F191" s="279"/>
      <c r="G191" s="149" t="e">
        <f>(#REF!/E191)*100</f>
        <v>#REF!</v>
      </c>
    </row>
    <row r="192" spans="1:7" s="191" customFormat="1" ht="15" customHeight="1" thickBot="1">
      <c r="A192" s="256"/>
      <c r="B192" s="283"/>
      <c r="C192" s="256"/>
      <c r="D192" s="274"/>
      <c r="E192" s="275"/>
      <c r="F192" s="279"/>
      <c r="G192" s="149"/>
    </row>
    <row r="193" spans="1:7" s="191" customFormat="1" ht="18.75" customHeight="1" thickBot="1" thickTop="1">
      <c r="A193" s="268"/>
      <c r="B193" s="235"/>
      <c r="C193" s="236" t="s">
        <v>447</v>
      </c>
      <c r="D193" s="237">
        <f>SUM(D173:D192)</f>
        <v>13597</v>
      </c>
      <c r="E193" s="238">
        <f>SUM(E173:E192)</f>
        <v>14083</v>
      </c>
      <c r="F193" s="239">
        <f>SUM(F173:F192)</f>
        <v>12313.6</v>
      </c>
      <c r="G193" s="237">
        <f>(F193/E193)*100</f>
        <v>87.43591564297381</v>
      </c>
    </row>
    <row r="194" spans="1:7" s="191" customFormat="1" ht="15.75" customHeight="1">
      <c r="A194" s="190"/>
      <c r="B194" s="193"/>
      <c r="C194" s="240"/>
      <c r="D194" s="241"/>
      <c r="E194" s="241"/>
      <c r="F194" s="241"/>
      <c r="G194" s="241"/>
    </row>
    <row r="195" spans="1:7" s="191" customFormat="1" ht="15.75" customHeight="1" hidden="1">
      <c r="A195" s="190"/>
      <c r="B195" s="193"/>
      <c r="C195" s="240"/>
      <c r="D195" s="242"/>
      <c r="E195" s="242"/>
      <c r="F195" s="242"/>
      <c r="G195" s="242"/>
    </row>
    <row r="196" spans="1:7" s="191" customFormat="1" ht="12.75" customHeight="1" hidden="1">
      <c r="A196" s="190"/>
      <c r="C196" s="193"/>
      <c r="D196" s="242"/>
      <c r="E196" s="242"/>
      <c r="F196" s="242"/>
      <c r="G196" s="242"/>
    </row>
    <row r="197" spans="1:7" s="191" customFormat="1" ht="12.75" customHeight="1" hidden="1">
      <c r="A197" s="190"/>
      <c r="B197" s="193"/>
      <c r="C197" s="240"/>
      <c r="D197" s="242"/>
      <c r="E197" s="242"/>
      <c r="F197" s="242"/>
      <c r="G197" s="242"/>
    </row>
    <row r="198" spans="1:7" s="191" customFormat="1" ht="12.75" customHeight="1" hidden="1">
      <c r="A198" s="190"/>
      <c r="B198" s="193"/>
      <c r="C198" s="240"/>
      <c r="D198" s="242"/>
      <c r="E198" s="242"/>
      <c r="F198" s="242"/>
      <c r="G198" s="242"/>
    </row>
    <row r="199" spans="1:7" s="191" customFormat="1" ht="12.75" customHeight="1" hidden="1">
      <c r="A199" s="190"/>
      <c r="B199" s="193"/>
      <c r="C199" s="240"/>
      <c r="D199" s="242"/>
      <c r="E199" s="242"/>
      <c r="F199" s="242"/>
      <c r="G199" s="242"/>
    </row>
    <row r="200" spans="1:7" s="191" customFormat="1" ht="12.75" customHeight="1" hidden="1">
      <c r="A200" s="190"/>
      <c r="B200" s="193"/>
      <c r="C200" s="240"/>
      <c r="D200" s="242"/>
      <c r="E200" s="242"/>
      <c r="F200" s="242"/>
      <c r="G200" s="242"/>
    </row>
    <row r="201" spans="1:7" s="191" customFormat="1" ht="12.75" customHeight="1" hidden="1">
      <c r="A201" s="190"/>
      <c r="B201" s="193"/>
      <c r="C201" s="240"/>
      <c r="D201" s="242"/>
      <c r="E201" s="242"/>
      <c r="F201" s="242"/>
      <c r="G201" s="242"/>
    </row>
    <row r="202" spans="1:7" s="191" customFormat="1" ht="12.75" customHeight="1" hidden="1">
      <c r="A202" s="190"/>
      <c r="B202" s="193"/>
      <c r="C202" s="240"/>
      <c r="D202" s="242"/>
      <c r="E202" s="200"/>
      <c r="F202" s="200"/>
      <c r="G202" s="200"/>
    </row>
    <row r="203" spans="1:7" s="191" customFormat="1" ht="12.75" customHeight="1" hidden="1">
      <c r="A203" s="190"/>
      <c r="B203" s="193"/>
      <c r="C203" s="240"/>
      <c r="D203" s="242"/>
      <c r="E203" s="242"/>
      <c r="F203" s="242"/>
      <c r="G203" s="242"/>
    </row>
    <row r="204" spans="1:7" s="191" customFormat="1" ht="12.75" customHeight="1" hidden="1">
      <c r="A204" s="190"/>
      <c r="B204" s="193"/>
      <c r="C204" s="240"/>
      <c r="D204" s="242"/>
      <c r="E204" s="242"/>
      <c r="F204" s="242"/>
      <c r="G204" s="242"/>
    </row>
    <row r="205" spans="1:7" s="191" customFormat="1" ht="18" customHeight="1" hidden="1">
      <c r="A205" s="190"/>
      <c r="B205" s="193"/>
      <c r="C205" s="240"/>
      <c r="D205" s="242"/>
      <c r="E205" s="200"/>
      <c r="F205" s="200"/>
      <c r="G205" s="200"/>
    </row>
    <row r="206" spans="1:7" s="191" customFormat="1" ht="15.75" customHeight="1" thickBot="1">
      <c r="A206" s="190"/>
      <c r="B206" s="193"/>
      <c r="C206" s="240"/>
      <c r="D206" s="242"/>
      <c r="E206" s="207"/>
      <c r="F206" s="207"/>
      <c r="G206" s="207"/>
    </row>
    <row r="207" spans="1:7" s="191" customFormat="1" ht="15.75">
      <c r="A207" s="211" t="s">
        <v>25</v>
      </c>
      <c r="B207" s="212" t="s">
        <v>26</v>
      </c>
      <c r="C207" s="211" t="s">
        <v>28</v>
      </c>
      <c r="D207" s="211" t="s">
        <v>29</v>
      </c>
      <c r="E207" s="211" t="s">
        <v>29</v>
      </c>
      <c r="F207" s="59" t="s">
        <v>8</v>
      </c>
      <c r="G207" s="211" t="s">
        <v>306</v>
      </c>
    </row>
    <row r="208" spans="1:7" s="191" customFormat="1" ht="15.75" customHeight="1" thickBot="1">
      <c r="A208" s="213"/>
      <c r="B208" s="214"/>
      <c r="C208" s="215"/>
      <c r="D208" s="216" t="s">
        <v>31</v>
      </c>
      <c r="E208" s="216" t="s">
        <v>32</v>
      </c>
      <c r="F208" s="63" t="s">
        <v>33</v>
      </c>
      <c r="G208" s="216" t="s">
        <v>307</v>
      </c>
    </row>
    <row r="209" spans="1:7" s="191" customFormat="1" ht="16.5" thickTop="1">
      <c r="A209" s="217">
        <v>60</v>
      </c>
      <c r="B209" s="218"/>
      <c r="C209" s="219" t="s">
        <v>172</v>
      </c>
      <c r="D209" s="123"/>
      <c r="E209" s="121"/>
      <c r="F209" s="122"/>
      <c r="G209" s="123"/>
    </row>
    <row r="210" spans="1:7" s="191" customFormat="1" ht="15.75">
      <c r="A210" s="145"/>
      <c r="B210" s="223"/>
      <c r="C210" s="145"/>
      <c r="D210" s="149"/>
      <c r="E210" s="150"/>
      <c r="F210" s="148"/>
      <c r="G210" s="149"/>
    </row>
    <row r="211" spans="1:7" s="191" customFormat="1" ht="15">
      <c r="A211" s="93"/>
      <c r="B211" s="224">
        <v>1014</v>
      </c>
      <c r="C211" s="93" t="s">
        <v>448</v>
      </c>
      <c r="D211" s="70">
        <v>550</v>
      </c>
      <c r="E211" s="71">
        <v>546</v>
      </c>
      <c r="F211" s="72">
        <v>374.9</v>
      </c>
      <c r="G211" s="149">
        <f aca="true" t="shared" si="5" ref="G211:G221">(F211/E211)*100</f>
        <v>68.66300366300366</v>
      </c>
    </row>
    <row r="212" spans="1:7" s="191" customFormat="1" ht="15" customHeight="1" hidden="1">
      <c r="A212" s="256"/>
      <c r="B212" s="283">
        <v>1031</v>
      </c>
      <c r="C212" s="256" t="s">
        <v>449</v>
      </c>
      <c r="D212" s="75"/>
      <c r="E212" s="76"/>
      <c r="F212" s="77"/>
      <c r="G212" s="149" t="e">
        <f t="shared" si="5"/>
        <v>#DIV/0!</v>
      </c>
    </row>
    <row r="213" spans="1:7" s="191" customFormat="1" ht="15">
      <c r="A213" s="93"/>
      <c r="B213" s="224">
        <v>1036</v>
      </c>
      <c r="C213" s="93" t="s">
        <v>450</v>
      </c>
      <c r="D213" s="70">
        <v>0</v>
      </c>
      <c r="E213" s="71">
        <v>45.2</v>
      </c>
      <c r="F213" s="72">
        <v>45.1</v>
      </c>
      <c r="G213" s="149">
        <f t="shared" si="5"/>
        <v>99.7787610619469</v>
      </c>
    </row>
    <row r="214" spans="1:7" s="191" customFormat="1" ht="15" customHeight="1">
      <c r="A214" s="256"/>
      <c r="B214" s="283">
        <v>1037</v>
      </c>
      <c r="C214" s="256" t="s">
        <v>451</v>
      </c>
      <c r="D214" s="75">
        <v>0</v>
      </c>
      <c r="E214" s="76">
        <v>68.3</v>
      </c>
      <c r="F214" s="77">
        <v>68.3</v>
      </c>
      <c r="G214" s="149">
        <f t="shared" si="5"/>
        <v>100</v>
      </c>
    </row>
    <row r="215" spans="1:7" s="191" customFormat="1" ht="15" hidden="1">
      <c r="A215" s="256"/>
      <c r="B215" s="283">
        <v>1039</v>
      </c>
      <c r="C215" s="256" t="s">
        <v>452</v>
      </c>
      <c r="D215" s="75">
        <v>0</v>
      </c>
      <c r="E215" s="76"/>
      <c r="F215" s="77"/>
      <c r="G215" s="149" t="e">
        <f t="shared" si="5"/>
        <v>#DIV/0!</v>
      </c>
    </row>
    <row r="216" spans="1:7" s="191" customFormat="1" ht="15">
      <c r="A216" s="256"/>
      <c r="B216" s="283">
        <v>1070</v>
      </c>
      <c r="C216" s="256" t="s">
        <v>453</v>
      </c>
      <c r="D216" s="75">
        <v>7</v>
      </c>
      <c r="E216" s="76">
        <v>6.5</v>
      </c>
      <c r="F216" s="77">
        <v>6.5</v>
      </c>
      <c r="G216" s="149">
        <f t="shared" si="5"/>
        <v>100</v>
      </c>
    </row>
    <row r="217" spans="1:7" s="191" customFormat="1" ht="15" hidden="1">
      <c r="A217" s="256"/>
      <c r="B217" s="283">
        <v>2331</v>
      </c>
      <c r="C217" s="256" t="s">
        <v>454</v>
      </c>
      <c r="D217" s="75"/>
      <c r="E217" s="76"/>
      <c r="F217" s="72"/>
      <c r="G217" s="149" t="e">
        <f t="shared" si="5"/>
        <v>#DIV/0!</v>
      </c>
    </row>
    <row r="218" spans="1:7" s="191" customFormat="1" ht="15">
      <c r="A218" s="256"/>
      <c r="B218" s="283">
        <v>3739</v>
      </c>
      <c r="C218" s="256" t="s">
        <v>455</v>
      </c>
      <c r="D218" s="70">
        <v>50</v>
      </c>
      <c r="E218" s="71">
        <v>50</v>
      </c>
      <c r="F218" s="72">
        <v>0</v>
      </c>
      <c r="G218" s="149">
        <f t="shared" si="5"/>
        <v>0</v>
      </c>
    </row>
    <row r="219" spans="1:7" s="191" customFormat="1" ht="15">
      <c r="A219" s="93"/>
      <c r="B219" s="224">
        <v>3749</v>
      </c>
      <c r="C219" s="93" t="s">
        <v>456</v>
      </c>
      <c r="D219" s="70">
        <v>50</v>
      </c>
      <c r="E219" s="71">
        <v>49</v>
      </c>
      <c r="F219" s="72">
        <v>6.8</v>
      </c>
      <c r="G219" s="149">
        <f t="shared" si="5"/>
        <v>13.877551020408163</v>
      </c>
    </row>
    <row r="220" spans="1:7" s="191" customFormat="1" ht="15">
      <c r="A220" s="93"/>
      <c r="B220" s="224">
        <v>5272</v>
      </c>
      <c r="C220" s="93" t="s">
        <v>457</v>
      </c>
      <c r="D220" s="70">
        <v>0</v>
      </c>
      <c r="E220" s="71">
        <v>100</v>
      </c>
      <c r="F220" s="72">
        <v>100</v>
      </c>
      <c r="G220" s="149">
        <f t="shared" si="5"/>
        <v>100</v>
      </c>
    </row>
    <row r="221" spans="1:7" s="191" customFormat="1" ht="15">
      <c r="A221" s="93"/>
      <c r="B221" s="224">
        <v>6171</v>
      </c>
      <c r="C221" s="93" t="s">
        <v>458</v>
      </c>
      <c r="D221" s="70">
        <v>0</v>
      </c>
      <c r="E221" s="71">
        <v>5.5</v>
      </c>
      <c r="F221" s="72">
        <v>4.3</v>
      </c>
      <c r="G221" s="149">
        <f t="shared" si="5"/>
        <v>78.18181818181817</v>
      </c>
    </row>
    <row r="222" spans="1:7" s="191" customFormat="1" ht="15.75" thickBot="1">
      <c r="A222" s="228"/>
      <c r="B222" s="287"/>
      <c r="C222" s="228"/>
      <c r="D222" s="274"/>
      <c r="E222" s="275"/>
      <c r="F222" s="279"/>
      <c r="G222" s="274"/>
    </row>
    <row r="223" spans="1:7" s="191" customFormat="1" ht="18.75" customHeight="1" thickBot="1" thickTop="1">
      <c r="A223" s="234"/>
      <c r="B223" s="288"/>
      <c r="C223" s="289" t="s">
        <v>459</v>
      </c>
      <c r="D223" s="237">
        <f>SUM(D209:D222)</f>
        <v>657</v>
      </c>
      <c r="E223" s="238">
        <f>SUM(E210:E222)</f>
        <v>870.5</v>
      </c>
      <c r="F223" s="239">
        <f>SUM(F209:F222)</f>
        <v>605.9</v>
      </c>
      <c r="G223" s="237">
        <f>(F223/E223)*100</f>
        <v>69.60367604824813</v>
      </c>
    </row>
    <row r="224" spans="1:7" s="191" customFormat="1" ht="12.75" customHeight="1">
      <c r="A224" s="190"/>
      <c r="B224" s="193"/>
      <c r="C224" s="240"/>
      <c r="D224" s="242"/>
      <c r="E224" s="242"/>
      <c r="F224" s="242"/>
      <c r="G224" s="242"/>
    </row>
    <row r="225" spans="1:7" s="191" customFormat="1" ht="12.75" customHeight="1" hidden="1">
      <c r="A225" s="190"/>
      <c r="B225" s="193"/>
      <c r="C225" s="240"/>
      <c r="D225" s="242"/>
      <c r="E225" s="242"/>
      <c r="F225" s="242"/>
      <c r="G225" s="242"/>
    </row>
    <row r="226" spans="1:7" s="191" customFormat="1" ht="12.75" customHeight="1" hidden="1">
      <c r="A226" s="190"/>
      <c r="B226" s="193"/>
      <c r="C226" s="240"/>
      <c r="D226" s="242"/>
      <c r="E226" s="242"/>
      <c r="F226" s="242"/>
      <c r="G226" s="242"/>
    </row>
    <row r="227" spans="1:7" s="191" customFormat="1" ht="12.75" customHeight="1" hidden="1">
      <c r="A227" s="190"/>
      <c r="B227" s="193"/>
      <c r="C227" s="240"/>
      <c r="D227" s="242"/>
      <c r="E227" s="242"/>
      <c r="F227" s="242"/>
      <c r="G227" s="242"/>
    </row>
    <row r="228" s="191" customFormat="1" ht="12.75" customHeight="1" hidden="1">
      <c r="B228" s="243"/>
    </row>
    <row r="229" s="191" customFormat="1" ht="12.75" customHeight="1">
      <c r="B229" s="243"/>
    </row>
    <row r="230" s="191" customFormat="1" ht="12.75" customHeight="1" thickBot="1">
      <c r="B230" s="243"/>
    </row>
    <row r="231" spans="1:7" s="191" customFormat="1" ht="15.75">
      <c r="A231" s="211" t="s">
        <v>25</v>
      </c>
      <c r="B231" s="212" t="s">
        <v>26</v>
      </c>
      <c r="C231" s="211" t="s">
        <v>28</v>
      </c>
      <c r="D231" s="211" t="s">
        <v>29</v>
      </c>
      <c r="E231" s="211" t="s">
        <v>29</v>
      </c>
      <c r="F231" s="59" t="s">
        <v>8</v>
      </c>
      <c r="G231" s="211" t="s">
        <v>306</v>
      </c>
    </row>
    <row r="232" spans="1:7" s="191" customFormat="1" ht="15.75" customHeight="1" thickBot="1">
      <c r="A232" s="213"/>
      <c r="B232" s="214"/>
      <c r="C232" s="215"/>
      <c r="D232" s="216" t="s">
        <v>31</v>
      </c>
      <c r="E232" s="216" t="s">
        <v>32</v>
      </c>
      <c r="F232" s="63" t="s">
        <v>33</v>
      </c>
      <c r="G232" s="216" t="s">
        <v>307</v>
      </c>
    </row>
    <row r="233" spans="1:7" s="191" customFormat="1" ht="16.5" thickTop="1">
      <c r="A233" s="217">
        <v>80</v>
      </c>
      <c r="B233" s="217"/>
      <c r="C233" s="219" t="s">
        <v>186</v>
      </c>
      <c r="D233" s="123"/>
      <c r="E233" s="121"/>
      <c r="F233" s="122"/>
      <c r="G233" s="123"/>
    </row>
    <row r="234" spans="1:7" s="191" customFormat="1" ht="15.75">
      <c r="A234" s="145"/>
      <c r="B234" s="272"/>
      <c r="C234" s="145"/>
      <c r="D234" s="149"/>
      <c r="E234" s="150"/>
      <c r="F234" s="148"/>
      <c r="G234" s="149"/>
    </row>
    <row r="235" spans="1:7" s="191" customFormat="1" ht="15">
      <c r="A235" s="93"/>
      <c r="B235" s="273">
        <v>2219</v>
      </c>
      <c r="C235" s="93" t="s">
        <v>460</v>
      </c>
      <c r="D235" s="153">
        <v>3370</v>
      </c>
      <c r="E235" s="71">
        <v>3520</v>
      </c>
      <c r="F235" s="72">
        <v>2533</v>
      </c>
      <c r="G235" s="149">
        <f>(F235/E235)*100</f>
        <v>71.96022727272727</v>
      </c>
    </row>
    <row r="236" spans="1:82" s="190" customFormat="1" ht="15">
      <c r="A236" s="93"/>
      <c r="B236" s="273">
        <v>2221</v>
      </c>
      <c r="C236" s="93" t="s">
        <v>461</v>
      </c>
      <c r="D236" s="153">
        <v>17086</v>
      </c>
      <c r="E236" s="71">
        <v>17086</v>
      </c>
      <c r="F236" s="72">
        <v>11831.6</v>
      </c>
      <c r="G236" s="149">
        <f>(F236/E236)*100</f>
        <v>69.2473370010535</v>
      </c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  <c r="BK236" s="191"/>
      <c r="BL236" s="191"/>
      <c r="BM236" s="191"/>
      <c r="BN236" s="191"/>
      <c r="BO236" s="191"/>
      <c r="BP236" s="191"/>
      <c r="BQ236" s="191"/>
      <c r="BR236" s="191"/>
      <c r="BS236" s="191"/>
      <c r="BT236" s="191"/>
      <c r="BU236" s="191"/>
      <c r="BV236" s="191"/>
      <c r="BW236" s="191"/>
      <c r="BX236" s="191"/>
      <c r="BY236" s="191"/>
      <c r="BZ236" s="191"/>
      <c r="CA236" s="191"/>
      <c r="CB236" s="191"/>
      <c r="CC236" s="191"/>
      <c r="CD236" s="191"/>
    </row>
    <row r="237" spans="1:82" s="190" customFormat="1" ht="15">
      <c r="A237" s="93"/>
      <c r="B237" s="273">
        <v>2232</v>
      </c>
      <c r="C237" s="93" t="s">
        <v>462</v>
      </c>
      <c r="D237" s="70">
        <v>260</v>
      </c>
      <c r="E237" s="71">
        <v>260</v>
      </c>
      <c r="F237" s="72">
        <v>0</v>
      </c>
      <c r="G237" s="149">
        <f>(F237/E237)*100</f>
        <v>0</v>
      </c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1"/>
      <c r="BC237" s="191"/>
      <c r="BD237" s="191"/>
      <c r="BE237" s="191"/>
      <c r="BF237" s="191"/>
      <c r="BG237" s="191"/>
      <c r="BH237" s="191"/>
      <c r="BI237" s="191"/>
      <c r="BJ237" s="191"/>
      <c r="BK237" s="191"/>
      <c r="BL237" s="191"/>
      <c r="BM237" s="191"/>
      <c r="BN237" s="191"/>
      <c r="BO237" s="191"/>
      <c r="BP237" s="191"/>
      <c r="BQ237" s="191"/>
      <c r="BR237" s="191"/>
      <c r="BS237" s="191"/>
      <c r="BT237" s="191"/>
      <c r="BU237" s="191"/>
      <c r="BV237" s="191"/>
      <c r="BW237" s="191"/>
      <c r="BX237" s="191"/>
      <c r="BY237" s="191"/>
      <c r="BZ237" s="191"/>
      <c r="CA237" s="191"/>
      <c r="CB237" s="191"/>
      <c r="CC237" s="191"/>
      <c r="CD237" s="191"/>
    </row>
    <row r="238" spans="1:82" s="190" customFormat="1" ht="15">
      <c r="A238" s="256"/>
      <c r="B238" s="257">
        <v>6171</v>
      </c>
      <c r="C238" s="256" t="s">
        <v>463</v>
      </c>
      <c r="D238" s="149">
        <v>0</v>
      </c>
      <c r="E238" s="150">
        <v>0</v>
      </c>
      <c r="F238" s="148">
        <v>27</v>
      </c>
      <c r="G238" s="149" t="e">
        <f>(F238/E238)*100</f>
        <v>#DIV/0!</v>
      </c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91"/>
      <c r="BC238" s="191"/>
      <c r="BD238" s="191"/>
      <c r="BE238" s="191"/>
      <c r="BF238" s="191"/>
      <c r="BG238" s="191"/>
      <c r="BH238" s="191"/>
      <c r="BI238" s="191"/>
      <c r="BJ238" s="191"/>
      <c r="BK238" s="191"/>
      <c r="BL238" s="191"/>
      <c r="BM238" s="191"/>
      <c r="BN238" s="191"/>
      <c r="BO238" s="191"/>
      <c r="BP238" s="191"/>
      <c r="BQ238" s="191"/>
      <c r="BR238" s="191"/>
      <c r="BS238" s="191"/>
      <c r="BT238" s="191"/>
      <c r="BU238" s="191"/>
      <c r="BV238" s="191"/>
      <c r="BW238" s="191"/>
      <c r="BX238" s="191"/>
      <c r="BY238" s="191"/>
      <c r="BZ238" s="191"/>
      <c r="CA238" s="191"/>
      <c r="CB238" s="191"/>
      <c r="CC238" s="191"/>
      <c r="CD238" s="191"/>
    </row>
    <row r="239" spans="1:82" s="190" customFormat="1" ht="15.75" thickBot="1">
      <c r="A239" s="278"/>
      <c r="B239" s="277"/>
      <c r="C239" s="278"/>
      <c r="D239" s="231"/>
      <c r="E239" s="232"/>
      <c r="F239" s="233"/>
      <c r="G239" s="23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191"/>
      <c r="BQ239" s="191"/>
      <c r="BR239" s="191"/>
      <c r="BS239" s="191"/>
      <c r="BT239" s="191"/>
      <c r="BU239" s="191"/>
      <c r="BV239" s="191"/>
      <c r="BW239" s="191"/>
      <c r="BX239" s="191"/>
      <c r="BY239" s="191"/>
      <c r="BZ239" s="191"/>
      <c r="CA239" s="191"/>
      <c r="CB239" s="191"/>
      <c r="CC239" s="191"/>
      <c r="CD239" s="191"/>
    </row>
    <row r="240" spans="1:82" s="190" customFormat="1" ht="18.75" customHeight="1" thickBot="1" thickTop="1">
      <c r="A240" s="234"/>
      <c r="B240" s="290"/>
      <c r="C240" s="289" t="s">
        <v>464</v>
      </c>
      <c r="D240" s="237">
        <f>SUM(D235:D238)</f>
        <v>20716</v>
      </c>
      <c r="E240" s="238">
        <f>SUM(E235:E238)</f>
        <v>20866</v>
      </c>
      <c r="F240" s="239">
        <f>SUM(F235:F238)</f>
        <v>14391.6</v>
      </c>
      <c r="G240" s="237">
        <f>(F240/E240)*100</f>
        <v>68.97153263682546</v>
      </c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  <c r="BK240" s="191"/>
      <c r="BL240" s="191"/>
      <c r="BM240" s="191"/>
      <c r="BN240" s="191"/>
      <c r="BO240" s="191"/>
      <c r="BP240" s="191"/>
      <c r="BQ240" s="191"/>
      <c r="BR240" s="191"/>
      <c r="BS240" s="191"/>
      <c r="BT240" s="191"/>
      <c r="BU240" s="191"/>
      <c r="BV240" s="191"/>
      <c r="BW240" s="191"/>
      <c r="BX240" s="191"/>
      <c r="BY240" s="191"/>
      <c r="BZ240" s="191"/>
      <c r="CA240" s="191"/>
      <c r="CB240" s="191"/>
      <c r="CC240" s="191"/>
      <c r="CD240" s="191"/>
    </row>
    <row r="241" spans="2:82" s="190" customFormat="1" ht="15.75" customHeight="1">
      <c r="B241" s="193"/>
      <c r="C241" s="240"/>
      <c r="D241" s="242"/>
      <c r="E241" s="242"/>
      <c r="F241" s="242"/>
      <c r="G241" s="242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91"/>
      <c r="BC241" s="191"/>
      <c r="BD241" s="191"/>
      <c r="BE241" s="191"/>
      <c r="BF241" s="191"/>
      <c r="BG241" s="191"/>
      <c r="BH241" s="191"/>
      <c r="BI241" s="191"/>
      <c r="BJ241" s="191"/>
      <c r="BK241" s="191"/>
      <c r="BL241" s="191"/>
      <c r="BM241" s="191"/>
      <c r="BN241" s="191"/>
      <c r="BO241" s="191"/>
      <c r="BP241" s="191"/>
      <c r="BQ241" s="191"/>
      <c r="BR241" s="191"/>
      <c r="BS241" s="191"/>
      <c r="BT241" s="191"/>
      <c r="BU241" s="191"/>
      <c r="BV241" s="191"/>
      <c r="BW241" s="191"/>
      <c r="BX241" s="191"/>
      <c r="BY241" s="191"/>
      <c r="BZ241" s="191"/>
      <c r="CA241" s="191"/>
      <c r="CB241" s="191"/>
      <c r="CC241" s="191"/>
      <c r="CD241" s="191"/>
    </row>
    <row r="242" spans="2:82" s="190" customFormat="1" ht="12.75" customHeight="1" hidden="1">
      <c r="B242" s="193"/>
      <c r="C242" s="240"/>
      <c r="D242" s="242"/>
      <c r="E242" s="242"/>
      <c r="F242" s="242"/>
      <c r="G242" s="242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  <c r="BK242" s="191"/>
      <c r="BL242" s="191"/>
      <c r="BM242" s="191"/>
      <c r="BN242" s="191"/>
      <c r="BO242" s="191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</row>
    <row r="243" spans="2:82" s="190" customFormat="1" ht="12.75" customHeight="1" hidden="1">
      <c r="B243" s="193"/>
      <c r="C243" s="240"/>
      <c r="D243" s="242"/>
      <c r="E243" s="242"/>
      <c r="F243" s="242"/>
      <c r="G243" s="242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  <c r="BK243" s="191"/>
      <c r="BL243" s="191"/>
      <c r="BM243" s="191"/>
      <c r="BN243" s="191"/>
      <c r="BO243" s="191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</row>
    <row r="244" spans="2:82" s="190" customFormat="1" ht="12.75" customHeight="1" hidden="1">
      <c r="B244" s="193"/>
      <c r="C244" s="240"/>
      <c r="D244" s="242"/>
      <c r="E244" s="242"/>
      <c r="F244" s="242"/>
      <c r="G244" s="242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</row>
    <row r="245" spans="2:82" s="190" customFormat="1" ht="12.75" customHeight="1" hidden="1">
      <c r="B245" s="193"/>
      <c r="C245" s="240"/>
      <c r="D245" s="242"/>
      <c r="E245" s="242"/>
      <c r="F245" s="242"/>
      <c r="G245" s="242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91"/>
      <c r="BC245" s="191"/>
      <c r="BD245" s="191"/>
      <c r="BE245" s="191"/>
      <c r="BF245" s="191"/>
      <c r="BG245" s="191"/>
      <c r="BH245" s="191"/>
      <c r="BI245" s="191"/>
      <c r="BJ245" s="191"/>
      <c r="BK245" s="191"/>
      <c r="BL245" s="191"/>
      <c r="BM245" s="191"/>
      <c r="BN245" s="191"/>
      <c r="BO245" s="191"/>
      <c r="BP245" s="191"/>
      <c r="BQ245" s="191"/>
      <c r="BR245" s="191"/>
      <c r="BS245" s="191"/>
      <c r="BT245" s="191"/>
      <c r="BU245" s="191"/>
      <c r="BV245" s="191"/>
      <c r="BW245" s="191"/>
      <c r="BX245" s="191"/>
      <c r="BY245" s="191"/>
      <c r="BZ245" s="191"/>
      <c r="CA245" s="191"/>
      <c r="CB245" s="191"/>
      <c r="CC245" s="191"/>
      <c r="CD245" s="191"/>
    </row>
    <row r="246" spans="2:82" s="190" customFormat="1" ht="12.75" customHeight="1" hidden="1">
      <c r="B246" s="193"/>
      <c r="C246" s="240"/>
      <c r="D246" s="242"/>
      <c r="E246" s="242"/>
      <c r="F246" s="242"/>
      <c r="G246" s="242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</row>
    <row r="247" spans="2:82" s="190" customFormat="1" ht="12.75" customHeight="1" hidden="1">
      <c r="B247" s="193"/>
      <c r="C247" s="240"/>
      <c r="D247" s="242"/>
      <c r="E247" s="242"/>
      <c r="F247" s="242"/>
      <c r="G247" s="242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  <c r="BA247" s="191"/>
      <c r="BB247" s="191"/>
      <c r="BC247" s="191"/>
      <c r="BD247" s="191"/>
      <c r="BE247" s="191"/>
      <c r="BF247" s="191"/>
      <c r="BG247" s="191"/>
      <c r="BH247" s="191"/>
      <c r="BI247" s="191"/>
      <c r="BJ247" s="191"/>
      <c r="BK247" s="191"/>
      <c r="BL247" s="191"/>
      <c r="BM247" s="191"/>
      <c r="BN247" s="191"/>
      <c r="BO247" s="191"/>
      <c r="BP247" s="191"/>
      <c r="BQ247" s="191"/>
      <c r="BR247" s="191"/>
      <c r="BS247" s="191"/>
      <c r="BT247" s="191"/>
      <c r="BU247" s="191"/>
      <c r="BV247" s="191"/>
      <c r="BW247" s="191"/>
      <c r="BX247" s="191"/>
      <c r="BY247" s="191"/>
      <c r="BZ247" s="191"/>
      <c r="CA247" s="191"/>
      <c r="CB247" s="191"/>
      <c r="CC247" s="191"/>
      <c r="CD247" s="191"/>
    </row>
    <row r="248" spans="2:82" s="190" customFormat="1" ht="12.75" customHeight="1" hidden="1">
      <c r="B248" s="193"/>
      <c r="C248" s="240"/>
      <c r="D248" s="242"/>
      <c r="E248" s="242"/>
      <c r="F248" s="242"/>
      <c r="G248" s="242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1"/>
      <c r="BN248" s="191"/>
      <c r="BO248" s="191"/>
      <c r="BP248" s="191"/>
      <c r="BQ248" s="191"/>
      <c r="BR248" s="191"/>
      <c r="BS248" s="191"/>
      <c r="BT248" s="191"/>
      <c r="BU248" s="191"/>
      <c r="BV248" s="191"/>
      <c r="BW248" s="191"/>
      <c r="BX248" s="191"/>
      <c r="BY248" s="191"/>
      <c r="BZ248" s="191"/>
      <c r="CA248" s="191"/>
      <c r="CB248" s="191"/>
      <c r="CC248" s="191"/>
      <c r="CD248" s="191"/>
    </row>
    <row r="249" spans="2:82" s="190" customFormat="1" ht="15.75" customHeight="1">
      <c r="B249" s="193"/>
      <c r="C249" s="240"/>
      <c r="D249" s="242"/>
      <c r="E249" s="200"/>
      <c r="F249" s="200"/>
      <c r="G249" s="200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1"/>
      <c r="BN249" s="191"/>
      <c r="BO249" s="191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</row>
    <row r="250" spans="2:82" s="190" customFormat="1" ht="15.75" customHeight="1">
      <c r="B250" s="193"/>
      <c r="C250" s="240"/>
      <c r="D250" s="242"/>
      <c r="E250" s="242"/>
      <c r="F250" s="242"/>
      <c r="G250" s="242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191"/>
      <c r="AZ250" s="191"/>
      <c r="BA250" s="191"/>
      <c r="BB250" s="191"/>
      <c r="BC250" s="191"/>
      <c r="BD250" s="191"/>
      <c r="BE250" s="191"/>
      <c r="BF250" s="191"/>
      <c r="BG250" s="191"/>
      <c r="BH250" s="191"/>
      <c r="BI250" s="191"/>
      <c r="BJ250" s="191"/>
      <c r="BK250" s="191"/>
      <c r="BL250" s="191"/>
      <c r="BM250" s="191"/>
      <c r="BN250" s="191"/>
      <c r="BO250" s="191"/>
      <c r="BP250" s="191"/>
      <c r="BQ250" s="191"/>
      <c r="BR250" s="191"/>
      <c r="BS250" s="191"/>
      <c r="BT250" s="191"/>
      <c r="BU250" s="191"/>
      <c r="BV250" s="191"/>
      <c r="BW250" s="191"/>
      <c r="BX250" s="191"/>
      <c r="BY250" s="191"/>
      <c r="BZ250" s="191"/>
      <c r="CA250" s="191"/>
      <c r="CB250" s="191"/>
      <c r="CC250" s="191"/>
      <c r="CD250" s="191"/>
    </row>
    <row r="251" spans="2:82" s="190" customFormat="1" ht="15.75" customHeight="1" thickBot="1">
      <c r="B251" s="193"/>
      <c r="C251" s="240"/>
      <c r="D251" s="242"/>
      <c r="E251" s="207"/>
      <c r="F251" s="207"/>
      <c r="G251" s="207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  <c r="BK251" s="191"/>
      <c r="BL251" s="191"/>
      <c r="BM251" s="191"/>
      <c r="BN251" s="191"/>
      <c r="BO251" s="191"/>
      <c r="BP251" s="191"/>
      <c r="BQ251" s="191"/>
      <c r="BR251" s="191"/>
      <c r="BS251" s="191"/>
      <c r="BT251" s="191"/>
      <c r="BU251" s="191"/>
      <c r="BV251" s="191"/>
      <c r="BW251" s="191"/>
      <c r="BX251" s="191"/>
      <c r="BY251" s="191"/>
      <c r="BZ251" s="191"/>
      <c r="CA251" s="191"/>
      <c r="CB251" s="191"/>
      <c r="CC251" s="191"/>
      <c r="CD251" s="191"/>
    </row>
    <row r="252" spans="1:82" s="190" customFormat="1" ht="15.75" customHeight="1">
      <c r="A252" s="211" t="s">
        <v>25</v>
      </c>
      <c r="B252" s="212" t="s">
        <v>26</v>
      </c>
      <c r="C252" s="211" t="s">
        <v>28</v>
      </c>
      <c r="D252" s="211" t="s">
        <v>29</v>
      </c>
      <c r="E252" s="211" t="s">
        <v>29</v>
      </c>
      <c r="F252" s="59" t="s">
        <v>8</v>
      </c>
      <c r="G252" s="211" t="s">
        <v>306</v>
      </c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  <c r="BA252" s="191"/>
      <c r="BB252" s="191"/>
      <c r="BC252" s="191"/>
      <c r="BD252" s="191"/>
      <c r="BE252" s="191"/>
      <c r="BF252" s="191"/>
      <c r="BG252" s="191"/>
      <c r="BH252" s="191"/>
      <c r="BI252" s="191"/>
      <c r="BJ252" s="191"/>
      <c r="BK252" s="191"/>
      <c r="BL252" s="191"/>
      <c r="BM252" s="191"/>
      <c r="BN252" s="191"/>
      <c r="BO252" s="191"/>
      <c r="BP252" s="191"/>
      <c r="BQ252" s="191"/>
      <c r="BR252" s="191"/>
      <c r="BS252" s="191"/>
      <c r="BT252" s="191"/>
      <c r="BU252" s="191"/>
      <c r="BV252" s="191"/>
      <c r="BW252" s="191"/>
      <c r="BX252" s="191"/>
      <c r="BY252" s="191"/>
      <c r="BZ252" s="191"/>
      <c r="CA252" s="191"/>
      <c r="CB252" s="191"/>
      <c r="CC252" s="191"/>
      <c r="CD252" s="191"/>
    </row>
    <row r="253" spans="1:7" s="191" customFormat="1" ht="15.75" customHeight="1" thickBot="1">
      <c r="A253" s="213"/>
      <c r="B253" s="214"/>
      <c r="C253" s="215"/>
      <c r="D253" s="216" t="s">
        <v>31</v>
      </c>
      <c r="E253" s="216" t="s">
        <v>32</v>
      </c>
      <c r="F253" s="63" t="s">
        <v>33</v>
      </c>
      <c r="G253" s="216" t="s">
        <v>307</v>
      </c>
    </row>
    <row r="254" spans="1:7" s="191" customFormat="1" ht="16.5" thickTop="1">
      <c r="A254" s="217">
        <v>90</v>
      </c>
      <c r="B254" s="217"/>
      <c r="C254" s="219" t="s">
        <v>198</v>
      </c>
      <c r="D254" s="123"/>
      <c r="E254" s="121"/>
      <c r="F254" s="122"/>
      <c r="G254" s="123"/>
    </row>
    <row r="255" spans="1:7" s="191" customFormat="1" ht="15.75">
      <c r="A255" s="145"/>
      <c r="B255" s="272"/>
      <c r="C255" s="145"/>
      <c r="D255" s="149"/>
      <c r="E255" s="150"/>
      <c r="F255" s="148"/>
      <c r="G255" s="149"/>
    </row>
    <row r="256" spans="1:7" s="191" customFormat="1" ht="15">
      <c r="A256" s="93"/>
      <c r="B256" s="273">
        <v>5311</v>
      </c>
      <c r="C256" s="93" t="s">
        <v>465</v>
      </c>
      <c r="D256" s="149">
        <v>18862</v>
      </c>
      <c r="E256" s="150">
        <v>19963</v>
      </c>
      <c r="F256" s="148">
        <v>12559.6</v>
      </c>
      <c r="G256" s="149">
        <f>(F256/E256)*100</f>
        <v>62.91439162450534</v>
      </c>
    </row>
    <row r="257" spans="1:7" s="191" customFormat="1" ht="16.5" thickBot="1">
      <c r="A257" s="276"/>
      <c r="B257" s="276"/>
      <c r="C257" s="291"/>
      <c r="D257" s="292"/>
      <c r="E257" s="293"/>
      <c r="F257" s="294"/>
      <c r="G257" s="292"/>
    </row>
    <row r="258" spans="1:7" s="191" customFormat="1" ht="18.75" customHeight="1" thickBot="1" thickTop="1">
      <c r="A258" s="234"/>
      <c r="B258" s="290"/>
      <c r="C258" s="289" t="s">
        <v>466</v>
      </c>
      <c r="D258" s="237">
        <f>SUM(D254:D257)</f>
        <v>18862</v>
      </c>
      <c r="E258" s="238">
        <f>SUM(E254:E257)</f>
        <v>19963</v>
      </c>
      <c r="F258" s="239">
        <f>SUM(F254:F257)</f>
        <v>12559.6</v>
      </c>
      <c r="G258" s="237">
        <f>(F258/E258)*100</f>
        <v>62.91439162450534</v>
      </c>
    </row>
    <row r="259" spans="1:7" s="191" customFormat="1" ht="15.75" customHeight="1">
      <c r="A259" s="190"/>
      <c r="B259" s="193"/>
      <c r="C259" s="240"/>
      <c r="D259" s="242"/>
      <c r="E259" s="242"/>
      <c r="F259" s="242"/>
      <c r="G259" s="242"/>
    </row>
    <row r="260" spans="1:7" s="191" customFormat="1" ht="15.75" customHeight="1" thickBot="1">
      <c r="A260" s="190"/>
      <c r="B260" s="193"/>
      <c r="C260" s="240"/>
      <c r="D260" s="242"/>
      <c r="E260" s="242"/>
      <c r="F260" s="242"/>
      <c r="G260" s="242"/>
    </row>
    <row r="261" spans="1:82" s="190" customFormat="1" ht="15.75" customHeight="1">
      <c r="A261" s="211" t="s">
        <v>25</v>
      </c>
      <c r="B261" s="212" t="s">
        <v>26</v>
      </c>
      <c r="C261" s="211" t="s">
        <v>28</v>
      </c>
      <c r="D261" s="211" t="s">
        <v>29</v>
      </c>
      <c r="E261" s="211" t="s">
        <v>29</v>
      </c>
      <c r="F261" s="59" t="s">
        <v>8</v>
      </c>
      <c r="G261" s="211" t="s">
        <v>306</v>
      </c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1"/>
      <c r="AX261" s="191"/>
      <c r="AY261" s="191"/>
      <c r="AZ261" s="191"/>
      <c r="BA261" s="191"/>
      <c r="BB261" s="191"/>
      <c r="BC261" s="191"/>
      <c r="BD261" s="191"/>
      <c r="BE261" s="191"/>
      <c r="BF261" s="191"/>
      <c r="BG261" s="191"/>
      <c r="BH261" s="191"/>
      <c r="BI261" s="191"/>
      <c r="BJ261" s="191"/>
      <c r="BK261" s="191"/>
      <c r="BL261" s="191"/>
      <c r="BM261" s="191"/>
      <c r="BN261" s="191"/>
      <c r="BO261" s="191"/>
      <c r="BP261" s="191"/>
      <c r="BQ261" s="191"/>
      <c r="BR261" s="191"/>
      <c r="BS261" s="191"/>
      <c r="BT261" s="191"/>
      <c r="BU261" s="191"/>
      <c r="BV261" s="191"/>
      <c r="BW261" s="191"/>
      <c r="BX261" s="191"/>
      <c r="BY261" s="191"/>
      <c r="BZ261" s="191"/>
      <c r="CA261" s="191"/>
      <c r="CB261" s="191"/>
      <c r="CC261" s="191"/>
      <c r="CD261" s="191"/>
    </row>
    <row r="262" spans="1:7" s="191" customFormat="1" ht="15.75" customHeight="1" thickBot="1">
      <c r="A262" s="213"/>
      <c r="B262" s="214"/>
      <c r="C262" s="215"/>
      <c r="D262" s="216" t="s">
        <v>31</v>
      </c>
      <c r="E262" s="216" t="s">
        <v>32</v>
      </c>
      <c r="F262" s="63" t="s">
        <v>33</v>
      </c>
      <c r="G262" s="216" t="s">
        <v>307</v>
      </c>
    </row>
    <row r="263" spans="1:7" s="191" customFormat="1" ht="16.5" thickTop="1">
      <c r="A263" s="217">
        <v>100</v>
      </c>
      <c r="B263" s="217"/>
      <c r="C263" s="145" t="s">
        <v>206</v>
      </c>
      <c r="D263" s="123"/>
      <c r="E263" s="121"/>
      <c r="F263" s="122"/>
      <c r="G263" s="123"/>
    </row>
    <row r="264" spans="1:7" s="191" customFormat="1" ht="15.75">
      <c r="A264" s="145"/>
      <c r="B264" s="272"/>
      <c r="C264" s="145"/>
      <c r="D264" s="149"/>
      <c r="E264" s="150"/>
      <c r="F264" s="148"/>
      <c r="G264" s="149"/>
    </row>
    <row r="265" spans="1:7" s="191" customFormat="1" ht="15.75">
      <c r="A265" s="145"/>
      <c r="B265" s="272"/>
      <c r="C265" s="145"/>
      <c r="D265" s="149"/>
      <c r="E265" s="150"/>
      <c r="F265" s="148"/>
      <c r="G265" s="149"/>
    </row>
    <row r="266" spans="1:7" s="191" customFormat="1" ht="15.75">
      <c r="A266" s="272"/>
      <c r="B266" s="295">
        <v>2169</v>
      </c>
      <c r="C266" s="296" t="s">
        <v>467</v>
      </c>
      <c r="D266" s="105">
        <v>300</v>
      </c>
      <c r="E266" s="71">
        <v>300</v>
      </c>
      <c r="F266" s="72">
        <v>14.5</v>
      </c>
      <c r="G266" s="149">
        <f>(F266/E266)*100</f>
        <v>4.833333333333333</v>
      </c>
    </row>
    <row r="267" spans="1:7" s="191" customFormat="1" ht="16.5" thickBot="1">
      <c r="A267" s="276"/>
      <c r="B267" s="297"/>
      <c r="C267" s="298"/>
      <c r="D267" s="299"/>
      <c r="E267" s="164"/>
      <c r="F267" s="165"/>
      <c r="G267" s="149"/>
    </row>
    <row r="268" spans="1:7" s="191" customFormat="1" ht="18.75" customHeight="1" thickBot="1" thickTop="1">
      <c r="A268" s="234"/>
      <c r="B268" s="290"/>
      <c r="C268" s="289" t="s">
        <v>468</v>
      </c>
      <c r="D268" s="237">
        <f>SUM(D263:D267)</f>
        <v>300</v>
      </c>
      <c r="E268" s="238">
        <f>SUM(E263:E267)</f>
        <v>300</v>
      </c>
      <c r="F268" s="239">
        <f>SUM(F263:F267)</f>
        <v>14.5</v>
      </c>
      <c r="G268" s="237">
        <f>(F268/E268)*100</f>
        <v>4.833333333333333</v>
      </c>
    </row>
    <row r="269" spans="1:7" s="191" customFormat="1" ht="15.75" customHeight="1">
      <c r="A269" s="190"/>
      <c r="B269" s="193"/>
      <c r="C269" s="240"/>
      <c r="D269" s="242"/>
      <c r="E269" s="242"/>
      <c r="F269" s="242"/>
      <c r="G269" s="242"/>
    </row>
    <row r="270" spans="1:7" s="191" customFormat="1" ht="15.75" customHeight="1">
      <c r="A270" s="190"/>
      <c r="B270" s="193"/>
      <c r="C270" s="240"/>
      <c r="D270" s="242"/>
      <c r="E270" s="242"/>
      <c r="F270" s="242"/>
      <c r="G270" s="242"/>
    </row>
    <row r="271" s="191" customFormat="1" ht="15.75" customHeight="1" thickBot="1">
      <c r="B271" s="243"/>
    </row>
    <row r="272" spans="1:7" s="191" customFormat="1" ht="15.75">
      <c r="A272" s="211" t="s">
        <v>25</v>
      </c>
      <c r="B272" s="212" t="s">
        <v>26</v>
      </c>
      <c r="C272" s="211" t="s">
        <v>28</v>
      </c>
      <c r="D272" s="211" t="s">
        <v>29</v>
      </c>
      <c r="E272" s="211" t="s">
        <v>29</v>
      </c>
      <c r="F272" s="59" t="s">
        <v>8</v>
      </c>
      <c r="G272" s="211" t="s">
        <v>306</v>
      </c>
    </row>
    <row r="273" spans="1:7" s="191" customFormat="1" ht="15.75" customHeight="1" thickBot="1">
      <c r="A273" s="213"/>
      <c r="B273" s="214"/>
      <c r="C273" s="215"/>
      <c r="D273" s="216" t="s">
        <v>31</v>
      </c>
      <c r="E273" s="216" t="s">
        <v>32</v>
      </c>
      <c r="F273" s="63" t="s">
        <v>33</v>
      </c>
      <c r="G273" s="216" t="s">
        <v>307</v>
      </c>
    </row>
    <row r="274" spans="1:7" s="191" customFormat="1" ht="16.5" thickTop="1">
      <c r="A274" s="217">
        <v>110</v>
      </c>
      <c r="B274" s="217"/>
      <c r="C274" s="219" t="s">
        <v>211</v>
      </c>
      <c r="D274" s="123"/>
      <c r="E274" s="121"/>
      <c r="F274" s="122"/>
      <c r="G274" s="123"/>
    </row>
    <row r="275" spans="1:7" s="191" customFormat="1" ht="15" customHeight="1">
      <c r="A275" s="145"/>
      <c r="B275" s="272"/>
      <c r="C275" s="145"/>
      <c r="D275" s="149"/>
      <c r="E275" s="150"/>
      <c r="F275" s="148"/>
      <c r="G275" s="149"/>
    </row>
    <row r="276" spans="1:7" s="191" customFormat="1" ht="15" customHeight="1">
      <c r="A276" s="93"/>
      <c r="B276" s="273">
        <v>6171</v>
      </c>
      <c r="C276" s="93" t="s">
        <v>469</v>
      </c>
      <c r="D276" s="149">
        <v>0</v>
      </c>
      <c r="E276" s="150">
        <v>0</v>
      </c>
      <c r="F276" s="279">
        <v>5</v>
      </c>
      <c r="G276" s="149" t="e">
        <f aca="true" t="shared" si="6" ref="G276:G281">(F276/E276)*100</f>
        <v>#DIV/0!</v>
      </c>
    </row>
    <row r="277" spans="1:7" s="191" customFormat="1" ht="15">
      <c r="A277" s="93"/>
      <c r="B277" s="273">
        <v>6310</v>
      </c>
      <c r="C277" s="93" t="s">
        <v>470</v>
      </c>
      <c r="D277" s="149">
        <v>1910</v>
      </c>
      <c r="E277" s="150">
        <v>2210</v>
      </c>
      <c r="F277" s="148">
        <v>1231.3</v>
      </c>
      <c r="G277" s="149">
        <f t="shared" si="6"/>
        <v>55.71493212669682</v>
      </c>
    </row>
    <row r="278" spans="1:7" s="191" customFormat="1" ht="15">
      <c r="A278" s="93"/>
      <c r="B278" s="273">
        <v>6399</v>
      </c>
      <c r="C278" s="93" t="s">
        <v>471</v>
      </c>
      <c r="D278" s="149">
        <v>13411</v>
      </c>
      <c r="E278" s="150">
        <v>12536.2</v>
      </c>
      <c r="F278" s="148">
        <v>10754.2</v>
      </c>
      <c r="G278" s="149">
        <f t="shared" si="6"/>
        <v>85.7851661588041</v>
      </c>
    </row>
    <row r="279" spans="1:7" s="191" customFormat="1" ht="15">
      <c r="A279" s="93"/>
      <c r="B279" s="273">
        <v>6402</v>
      </c>
      <c r="C279" s="93" t="s">
        <v>472</v>
      </c>
      <c r="D279" s="149">
        <v>0</v>
      </c>
      <c r="E279" s="150">
        <v>981.2</v>
      </c>
      <c r="F279" s="148">
        <v>981.1</v>
      </c>
      <c r="G279" s="149">
        <f t="shared" si="6"/>
        <v>99.98980839788014</v>
      </c>
    </row>
    <row r="280" spans="1:7" s="191" customFormat="1" ht="15">
      <c r="A280" s="93"/>
      <c r="B280" s="273">
        <v>6409</v>
      </c>
      <c r="C280" s="93" t="s">
        <v>473</v>
      </c>
      <c r="D280" s="149">
        <v>0</v>
      </c>
      <c r="E280" s="150">
        <v>0</v>
      </c>
      <c r="F280" s="148">
        <v>7.4</v>
      </c>
      <c r="G280" s="149" t="e">
        <f t="shared" si="6"/>
        <v>#DIV/0!</v>
      </c>
    </row>
    <row r="281" spans="1:7" s="196" customFormat="1" ht="20.25" customHeight="1">
      <c r="A281" s="219"/>
      <c r="B281" s="217">
        <v>6409</v>
      </c>
      <c r="C281" s="219" t="s">
        <v>474</v>
      </c>
      <c r="D281" s="300">
        <v>0</v>
      </c>
      <c r="E281" s="301">
        <v>0</v>
      </c>
      <c r="F281" s="249">
        <v>0</v>
      </c>
      <c r="G281" s="149" t="e">
        <f t="shared" si="6"/>
        <v>#DIV/0!</v>
      </c>
    </row>
    <row r="282" spans="1:7" s="191" customFormat="1" ht="15.75" thickBot="1">
      <c r="A282" s="278"/>
      <c r="B282" s="277"/>
      <c r="C282" s="278"/>
      <c r="D282" s="302"/>
      <c r="E282" s="303"/>
      <c r="F282" s="304"/>
      <c r="G282" s="302"/>
    </row>
    <row r="283" spans="1:7" s="191" customFormat="1" ht="18.75" customHeight="1" thickBot="1" thickTop="1">
      <c r="A283" s="234"/>
      <c r="B283" s="290"/>
      <c r="C283" s="289" t="s">
        <v>475</v>
      </c>
      <c r="D283" s="305">
        <f>SUM(D275:D281)</f>
        <v>15321</v>
      </c>
      <c r="E283" s="306">
        <f>SUM(E275:E281)</f>
        <v>15727.400000000001</v>
      </c>
      <c r="F283" s="307">
        <f>SUM(F275:F281)</f>
        <v>12979</v>
      </c>
      <c r="G283" s="237">
        <f>(F283/E283)*100</f>
        <v>82.52476569553771</v>
      </c>
    </row>
    <row r="284" spans="1:7" s="191" customFormat="1" ht="18.75" customHeight="1">
      <c r="A284" s="190"/>
      <c r="B284" s="193"/>
      <c r="C284" s="240"/>
      <c r="D284" s="242"/>
      <c r="E284" s="242"/>
      <c r="F284" s="242"/>
      <c r="G284" s="242"/>
    </row>
    <row r="285" spans="1:7" s="191" customFormat="1" ht="13.5" customHeight="1" hidden="1">
      <c r="A285" s="190"/>
      <c r="B285" s="193"/>
      <c r="C285" s="240"/>
      <c r="D285" s="242"/>
      <c r="E285" s="242"/>
      <c r="F285" s="242"/>
      <c r="G285" s="242"/>
    </row>
    <row r="286" spans="1:7" s="191" customFormat="1" ht="13.5" customHeight="1" hidden="1">
      <c r="A286" s="190"/>
      <c r="B286" s="193"/>
      <c r="C286" s="240"/>
      <c r="D286" s="242"/>
      <c r="E286" s="242"/>
      <c r="F286" s="242"/>
      <c r="G286" s="242"/>
    </row>
    <row r="287" spans="1:7" s="191" customFormat="1" ht="13.5" customHeight="1" hidden="1">
      <c r="A287" s="190"/>
      <c r="B287" s="193"/>
      <c r="C287" s="240"/>
      <c r="D287" s="242"/>
      <c r="E287" s="242"/>
      <c r="F287" s="242"/>
      <c r="G287" s="242"/>
    </row>
    <row r="288" spans="1:7" s="191" customFormat="1" ht="13.5" customHeight="1" hidden="1">
      <c r="A288" s="190"/>
      <c r="B288" s="193"/>
      <c r="C288" s="240"/>
      <c r="D288" s="242"/>
      <c r="E288" s="242"/>
      <c r="F288" s="242"/>
      <c r="G288" s="242"/>
    </row>
    <row r="289" spans="1:7" s="191" customFormat="1" ht="13.5" customHeight="1" hidden="1">
      <c r="A289" s="190"/>
      <c r="B289" s="193"/>
      <c r="C289" s="240"/>
      <c r="D289" s="242"/>
      <c r="E289" s="242"/>
      <c r="F289" s="242"/>
      <c r="G289" s="242"/>
    </row>
    <row r="290" spans="1:7" s="191" customFormat="1" ht="16.5" customHeight="1">
      <c r="A290" s="190"/>
      <c r="B290" s="193"/>
      <c r="C290" s="240"/>
      <c r="D290" s="242"/>
      <c r="E290" s="242"/>
      <c r="F290" s="242"/>
      <c r="G290" s="242"/>
    </row>
    <row r="291" spans="1:7" s="191" customFormat="1" ht="15.75" customHeight="1" thickBot="1">
      <c r="A291" s="190"/>
      <c r="B291" s="193"/>
      <c r="C291" s="240"/>
      <c r="D291" s="242"/>
      <c r="E291" s="242"/>
      <c r="F291" s="242"/>
      <c r="G291" s="242"/>
    </row>
    <row r="292" spans="1:7" s="191" customFormat="1" ht="15.75">
      <c r="A292" s="211" t="s">
        <v>25</v>
      </c>
      <c r="B292" s="212" t="s">
        <v>26</v>
      </c>
      <c r="C292" s="211" t="s">
        <v>28</v>
      </c>
      <c r="D292" s="211" t="s">
        <v>29</v>
      </c>
      <c r="E292" s="211" t="s">
        <v>29</v>
      </c>
      <c r="F292" s="59" t="s">
        <v>8</v>
      </c>
      <c r="G292" s="211" t="s">
        <v>306</v>
      </c>
    </row>
    <row r="293" spans="1:7" s="191" customFormat="1" ht="15.75" customHeight="1" thickBot="1">
      <c r="A293" s="213"/>
      <c r="B293" s="214"/>
      <c r="C293" s="215"/>
      <c r="D293" s="216" t="s">
        <v>31</v>
      </c>
      <c r="E293" s="216" t="s">
        <v>32</v>
      </c>
      <c r="F293" s="63" t="s">
        <v>33</v>
      </c>
      <c r="G293" s="216" t="s">
        <v>307</v>
      </c>
    </row>
    <row r="294" spans="1:7" s="191" customFormat="1" ht="16.5" thickTop="1">
      <c r="A294" s="217">
        <v>120</v>
      </c>
      <c r="B294" s="217"/>
      <c r="C294" s="115" t="s">
        <v>238</v>
      </c>
      <c r="D294" s="123"/>
      <c r="E294" s="121"/>
      <c r="F294" s="122"/>
      <c r="G294" s="123"/>
    </row>
    <row r="295" spans="1:7" s="191" customFormat="1" ht="15" customHeight="1">
      <c r="A295" s="145"/>
      <c r="B295" s="272"/>
      <c r="C295" s="115"/>
      <c r="D295" s="149"/>
      <c r="E295" s="150"/>
      <c r="F295" s="148"/>
      <c r="G295" s="149"/>
    </row>
    <row r="296" spans="1:7" s="191" customFormat="1" ht="15" customHeight="1">
      <c r="A296" s="145"/>
      <c r="B296" s="272"/>
      <c r="C296" s="115"/>
      <c r="D296" s="274"/>
      <c r="E296" s="275"/>
      <c r="F296" s="279"/>
      <c r="G296" s="149"/>
    </row>
    <row r="297" spans="1:7" s="191" customFormat="1" ht="15.75">
      <c r="A297" s="145"/>
      <c r="B297" s="273">
        <v>2310</v>
      </c>
      <c r="C297" s="93" t="s">
        <v>476</v>
      </c>
      <c r="D297" s="274">
        <v>30</v>
      </c>
      <c r="E297" s="275">
        <v>30</v>
      </c>
      <c r="F297" s="279">
        <v>0</v>
      </c>
      <c r="G297" s="149">
        <f aca="true" t="shared" si="7" ref="G297:G306">(F297/E297)*100</f>
        <v>0</v>
      </c>
    </row>
    <row r="298" spans="1:7" s="191" customFormat="1" ht="15.75" customHeight="1" hidden="1">
      <c r="A298" s="145"/>
      <c r="B298" s="273">
        <v>2321</v>
      </c>
      <c r="C298" s="93" t="s">
        <v>477</v>
      </c>
      <c r="D298" s="274">
        <v>0</v>
      </c>
      <c r="E298" s="275"/>
      <c r="F298" s="279"/>
      <c r="G298" s="149" t="e">
        <f t="shared" si="7"/>
        <v>#DIV/0!</v>
      </c>
    </row>
    <row r="299" spans="1:7" s="191" customFormat="1" ht="15">
      <c r="A299" s="93"/>
      <c r="B299" s="273">
        <v>3612</v>
      </c>
      <c r="C299" s="93" t="s">
        <v>478</v>
      </c>
      <c r="D299" s="149">
        <v>11384</v>
      </c>
      <c r="E299" s="150">
        <v>11184.5</v>
      </c>
      <c r="F299" s="148">
        <v>6807.8</v>
      </c>
      <c r="G299" s="149">
        <f t="shared" si="7"/>
        <v>60.868165765121375</v>
      </c>
    </row>
    <row r="300" spans="1:7" s="191" customFormat="1" ht="15">
      <c r="A300" s="93"/>
      <c r="B300" s="273">
        <v>3613</v>
      </c>
      <c r="C300" s="93" t="s">
        <v>479</v>
      </c>
      <c r="D300" s="149">
        <v>7086</v>
      </c>
      <c r="E300" s="150">
        <v>7205</v>
      </c>
      <c r="F300" s="148">
        <v>4267.5</v>
      </c>
      <c r="G300" s="149">
        <f t="shared" si="7"/>
        <v>59.22970159611381</v>
      </c>
    </row>
    <row r="301" spans="1:7" s="191" customFormat="1" ht="15">
      <c r="A301" s="93"/>
      <c r="B301" s="273">
        <v>3632</v>
      </c>
      <c r="C301" s="93" t="s">
        <v>355</v>
      </c>
      <c r="D301" s="149">
        <v>792</v>
      </c>
      <c r="E301" s="150">
        <v>942</v>
      </c>
      <c r="F301" s="148">
        <v>518.2</v>
      </c>
      <c r="G301" s="149">
        <f t="shared" si="7"/>
        <v>55.01061571125266</v>
      </c>
    </row>
    <row r="302" spans="1:7" s="191" customFormat="1" ht="15">
      <c r="A302" s="93"/>
      <c r="B302" s="273">
        <v>3634</v>
      </c>
      <c r="C302" s="93" t="s">
        <v>480</v>
      </c>
      <c r="D302" s="149">
        <v>800</v>
      </c>
      <c r="E302" s="150">
        <v>800</v>
      </c>
      <c r="F302" s="148">
        <v>521.5</v>
      </c>
      <c r="G302" s="149">
        <f t="shared" si="7"/>
        <v>65.1875</v>
      </c>
    </row>
    <row r="303" spans="1:7" s="191" customFormat="1" ht="15">
      <c r="A303" s="93"/>
      <c r="B303" s="273">
        <v>3639</v>
      </c>
      <c r="C303" s="93" t="s">
        <v>481</v>
      </c>
      <c r="D303" s="149">
        <f>12685.2-12112</f>
        <v>573.2000000000007</v>
      </c>
      <c r="E303" s="150">
        <f>15286.3-11747.6</f>
        <v>3538.699999999999</v>
      </c>
      <c r="F303" s="148">
        <f>4124.2-3142</f>
        <v>982.1999999999998</v>
      </c>
      <c r="G303" s="149">
        <f t="shared" si="7"/>
        <v>27.75595557690678</v>
      </c>
    </row>
    <row r="304" spans="1:7" s="191" customFormat="1" ht="15" customHeight="1" hidden="1">
      <c r="A304" s="93"/>
      <c r="B304" s="273">
        <v>3639</v>
      </c>
      <c r="C304" s="93" t="s">
        <v>482</v>
      </c>
      <c r="D304" s="149">
        <v>0</v>
      </c>
      <c r="E304" s="150"/>
      <c r="F304" s="148"/>
      <c r="G304" s="149" t="e">
        <f t="shared" si="7"/>
        <v>#DIV/0!</v>
      </c>
    </row>
    <row r="305" spans="1:7" s="191" customFormat="1" ht="15">
      <c r="A305" s="93"/>
      <c r="B305" s="273">
        <v>3639</v>
      </c>
      <c r="C305" s="93" t="s">
        <v>483</v>
      </c>
      <c r="D305" s="149">
        <v>12112</v>
      </c>
      <c r="E305" s="150">
        <v>11747.6</v>
      </c>
      <c r="F305" s="148">
        <v>3142</v>
      </c>
      <c r="G305" s="149">
        <f t="shared" si="7"/>
        <v>26.74588852191086</v>
      </c>
    </row>
    <row r="306" spans="1:7" s="191" customFormat="1" ht="15">
      <c r="A306" s="93"/>
      <c r="B306" s="273">
        <v>3729</v>
      </c>
      <c r="C306" s="93" t="s">
        <v>484</v>
      </c>
      <c r="D306" s="149">
        <v>1</v>
      </c>
      <c r="E306" s="150">
        <v>1</v>
      </c>
      <c r="F306" s="148">
        <v>0.5</v>
      </c>
      <c r="G306" s="149">
        <f t="shared" si="7"/>
        <v>50</v>
      </c>
    </row>
    <row r="307" spans="1:7" s="191" customFormat="1" ht="15" customHeight="1" thickBot="1">
      <c r="A307" s="276"/>
      <c r="B307" s="276"/>
      <c r="C307" s="291"/>
      <c r="D307" s="302"/>
      <c r="E307" s="303"/>
      <c r="F307" s="304"/>
      <c r="G307" s="302"/>
    </row>
    <row r="308" spans="1:7" s="191" customFormat="1" ht="18.75" customHeight="1" thickBot="1" thickTop="1">
      <c r="A308" s="268"/>
      <c r="B308" s="290"/>
      <c r="C308" s="289" t="s">
        <v>485</v>
      </c>
      <c r="D308" s="305">
        <f>SUM(D297:D306)</f>
        <v>32778.2</v>
      </c>
      <c r="E308" s="306">
        <f>SUM(E297:E306)</f>
        <v>35448.799999999996</v>
      </c>
      <c r="F308" s="307">
        <f>SUM(F297:F306)</f>
        <v>16239.7</v>
      </c>
      <c r="G308" s="237">
        <f>(F308/E308)*100</f>
        <v>45.811705896955615</v>
      </c>
    </row>
    <row r="309" spans="1:7" s="191" customFormat="1" ht="15.75" customHeight="1">
      <c r="A309" s="190"/>
      <c r="B309" s="193"/>
      <c r="C309" s="240"/>
      <c r="D309" s="242"/>
      <c r="E309" s="242"/>
      <c r="F309" s="242"/>
      <c r="G309" s="242"/>
    </row>
    <row r="310" spans="1:7" s="191" customFormat="1" ht="15.75" customHeight="1">
      <c r="A310" s="190"/>
      <c r="B310" s="193"/>
      <c r="C310" s="240"/>
      <c r="D310" s="242"/>
      <c r="E310" s="242"/>
      <c r="F310" s="242"/>
      <c r="G310" s="242"/>
    </row>
    <row r="311" s="191" customFormat="1" ht="15.75" customHeight="1" thickBot="1"/>
    <row r="312" spans="1:7" s="191" customFormat="1" ht="15.75">
      <c r="A312" s="211" t="s">
        <v>25</v>
      </c>
      <c r="B312" s="212" t="s">
        <v>26</v>
      </c>
      <c r="C312" s="211" t="s">
        <v>28</v>
      </c>
      <c r="D312" s="211" t="s">
        <v>29</v>
      </c>
      <c r="E312" s="211" t="s">
        <v>29</v>
      </c>
      <c r="F312" s="59" t="s">
        <v>8</v>
      </c>
      <c r="G312" s="211" t="s">
        <v>306</v>
      </c>
    </row>
    <row r="313" spans="1:7" s="191" customFormat="1" ht="15.75" customHeight="1" thickBot="1">
      <c r="A313" s="213"/>
      <c r="B313" s="214"/>
      <c r="C313" s="215"/>
      <c r="D313" s="216" t="s">
        <v>31</v>
      </c>
      <c r="E313" s="216" t="s">
        <v>32</v>
      </c>
      <c r="F313" s="63" t="s">
        <v>33</v>
      </c>
      <c r="G313" s="216" t="s">
        <v>307</v>
      </c>
    </row>
    <row r="314" spans="1:7" s="191" customFormat="1" ht="38.25" customHeight="1" thickBot="1" thickTop="1">
      <c r="A314" s="289"/>
      <c r="B314" s="308"/>
      <c r="C314" s="309" t="s">
        <v>486</v>
      </c>
      <c r="D314" s="310">
        <f>SUM(D34,D137,D162,D193,D223,D240,D258,D268,D283,D308,)</f>
        <v>492538.5</v>
      </c>
      <c r="E314" s="311">
        <f>SUM(E34,E137,E162,E193,E223,E240,E258,E268,E283,E308)</f>
        <v>526097.5</v>
      </c>
      <c r="F314" s="312">
        <f>SUM(F34,F137,F162,F193,F223,F240,F258,F268,F283,F308,)</f>
        <v>255540.80000000005</v>
      </c>
      <c r="G314" s="313">
        <f>(F314/E314)*100</f>
        <v>48.57289760928346</v>
      </c>
    </row>
    <row r="315" spans="1:7" ht="15">
      <c r="A315" s="89"/>
      <c r="B315" s="89"/>
      <c r="C315" s="89"/>
      <c r="D315" s="89"/>
      <c r="E315" s="89"/>
      <c r="F315" s="89"/>
      <c r="G315" s="89"/>
    </row>
    <row r="316" spans="1:7" ht="15" customHeight="1">
      <c r="A316" s="89"/>
      <c r="B316" s="89"/>
      <c r="C316" s="89"/>
      <c r="D316" s="89"/>
      <c r="E316" s="89"/>
      <c r="F316" s="89"/>
      <c r="G316" s="89"/>
    </row>
    <row r="317" spans="1:7" ht="15" customHeight="1">
      <c r="A317" s="89"/>
      <c r="B317" s="89"/>
      <c r="C317" s="89"/>
      <c r="D317" s="89"/>
      <c r="E317" s="89"/>
      <c r="F317" s="89"/>
      <c r="G317" s="89"/>
    </row>
    <row r="318" spans="1:7" ht="15" customHeight="1">
      <c r="A318" s="89"/>
      <c r="B318" s="89"/>
      <c r="C318" s="89"/>
      <c r="D318" s="89"/>
      <c r="E318" s="89"/>
      <c r="F318" s="89"/>
      <c r="G318" s="89"/>
    </row>
    <row r="319" spans="1:7" ht="15">
      <c r="A319" s="89"/>
      <c r="B319" s="89"/>
      <c r="C319" s="89"/>
      <c r="D319" s="89"/>
      <c r="E319" s="89"/>
      <c r="F319" s="89"/>
      <c r="G319" s="89"/>
    </row>
    <row r="320" spans="1:7" ht="15">
      <c r="A320" s="89"/>
      <c r="B320" s="89"/>
      <c r="C320" s="89"/>
      <c r="D320" s="89"/>
      <c r="E320" s="89"/>
      <c r="F320" s="90"/>
      <c r="G320" s="89"/>
    </row>
    <row r="321" spans="1:7" ht="15">
      <c r="A321" s="89"/>
      <c r="B321" s="89"/>
      <c r="C321" s="90"/>
      <c r="D321" s="89"/>
      <c r="E321" s="89"/>
      <c r="F321" s="89"/>
      <c r="G321" s="89"/>
    </row>
    <row r="322" spans="1:7" ht="15">
      <c r="A322" s="89"/>
      <c r="B322" s="89"/>
      <c r="C322" s="89"/>
      <c r="D322" s="89"/>
      <c r="E322" s="89"/>
      <c r="F322" s="89"/>
      <c r="G322" s="89"/>
    </row>
    <row r="323" spans="1:7" ht="15">
      <c r="A323" s="89"/>
      <c r="B323" s="89"/>
      <c r="C323" s="89"/>
      <c r="D323" s="89"/>
      <c r="E323" s="89"/>
      <c r="F323" s="89"/>
      <c r="G323" s="89"/>
    </row>
    <row r="324" spans="1:7" ht="15">
      <c r="A324" s="89"/>
      <c r="B324" s="89"/>
      <c r="C324" s="89"/>
      <c r="D324" s="89"/>
      <c r="E324" s="89"/>
      <c r="F324" s="89"/>
      <c r="G324" s="89"/>
    </row>
    <row r="325" spans="1:7" ht="15">
      <c r="A325" s="89"/>
      <c r="B325" s="89"/>
      <c r="C325" s="89"/>
      <c r="D325" s="89"/>
      <c r="E325" s="89"/>
      <c r="F325" s="89"/>
      <c r="G325" s="89"/>
    </row>
    <row r="326" spans="1:7" ht="15">
      <c r="A326" s="89"/>
      <c r="B326" s="89"/>
      <c r="C326" s="89"/>
      <c r="D326" s="89"/>
      <c r="E326" s="89"/>
      <c r="F326" s="89"/>
      <c r="G326" s="89"/>
    </row>
    <row r="327" spans="1:7" ht="15">
      <c r="A327" s="89"/>
      <c r="B327" s="89"/>
      <c r="C327" s="89"/>
      <c r="D327" s="89"/>
      <c r="E327" s="89"/>
      <c r="F327" s="89"/>
      <c r="G327" s="89"/>
    </row>
    <row r="328" spans="1:7" ht="15">
      <c r="A328" s="89"/>
      <c r="B328" s="89"/>
      <c r="C328" s="89"/>
      <c r="D328" s="89"/>
      <c r="E328" s="89"/>
      <c r="F328" s="89"/>
      <c r="G328" s="89"/>
    </row>
    <row r="329" spans="1:7" ht="15">
      <c r="A329" s="89"/>
      <c r="B329" s="89"/>
      <c r="C329" s="89"/>
      <c r="D329" s="89"/>
      <c r="E329" s="89"/>
      <c r="F329" s="89"/>
      <c r="G329" s="89"/>
    </row>
    <row r="330" spans="1:7" ht="15">
      <c r="A330" s="89"/>
      <c r="B330" s="89"/>
      <c r="C330" s="89"/>
      <c r="D330" s="89"/>
      <c r="E330" s="89"/>
      <c r="F330" s="89"/>
      <c r="G330" s="89"/>
    </row>
    <row r="331" spans="1:7" ht="15">
      <c r="A331" s="89"/>
      <c r="B331" s="89"/>
      <c r="C331" s="89"/>
      <c r="D331" s="89"/>
      <c r="E331" s="89"/>
      <c r="F331" s="89"/>
      <c r="G331" s="89"/>
    </row>
    <row r="332" spans="1:7" ht="15">
      <c r="A332" s="89"/>
      <c r="B332" s="89"/>
      <c r="C332" s="89"/>
      <c r="D332" s="89"/>
      <c r="E332" s="89"/>
      <c r="F332" s="89"/>
      <c r="G332" s="89"/>
    </row>
    <row r="333" spans="1:7" ht="15">
      <c r="A333" s="89"/>
      <c r="B333" s="89"/>
      <c r="C333" s="89"/>
      <c r="D333" s="89"/>
      <c r="E333" s="89"/>
      <c r="F333" s="89"/>
      <c r="G333" s="89"/>
    </row>
    <row r="334" spans="1:7" ht="15">
      <c r="A334" s="89"/>
      <c r="B334" s="89"/>
      <c r="C334" s="89"/>
      <c r="D334" s="89"/>
      <c r="E334" s="89"/>
      <c r="F334" s="89"/>
      <c r="G334" s="89"/>
    </row>
    <row r="335" spans="1:7" ht="15">
      <c r="A335" s="89"/>
      <c r="B335" s="89"/>
      <c r="C335" s="89"/>
      <c r="D335" s="89"/>
      <c r="E335" s="89"/>
      <c r="F335" s="89"/>
      <c r="G335" s="89"/>
    </row>
  </sheetData>
  <sheetProtection/>
  <printOptions/>
  <pageMargins left="0.2362204724409449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2013-09-13T11:21:00Z</cp:lastPrinted>
  <dcterms:created xsi:type="dcterms:W3CDTF">2013-09-13T10:07:24Z</dcterms:created>
  <dcterms:modified xsi:type="dcterms:W3CDTF">2013-09-13T11:23:52Z</dcterms:modified>
  <cp:category/>
  <cp:version/>
  <cp:contentType/>
  <cp:contentStatus/>
</cp:coreProperties>
</file>