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9_2013" sheetId="1" r:id="rId1"/>
    <sheet name="Město_příjmy" sheetId="2" r:id="rId2"/>
    <sheet name="Město_výdaje " sheetId="3" r:id="rId3"/>
    <sheet name="Domov seniorů" sheetId="4" r:id="rId4"/>
    <sheet name="Tereza" sheetId="5" r:id="rId5"/>
    <sheet name="Muzeum" sheetId="6" r:id="rId6"/>
    <sheet name="Knihovna" sheetId="7" r:id="rId7"/>
    <sheet name="MŠ Břetislavova" sheetId="8" r:id="rId8"/>
    <sheet name="MŠ Hřbitovní" sheetId="9" r:id="rId9"/>
    <sheet name="MŠ Na Valtické" sheetId="10" r:id="rId10"/>
    <sheet name="MŠ Slovácká" sheetId="11" r:id="rId11"/>
    <sheet name="MŠ U Splavu" sheetId="12" r:id="rId12"/>
    <sheet name="MŠ Okružní" sheetId="13" r:id="rId13"/>
    <sheet name="MŠ Osvobození" sheetId="14" r:id="rId14"/>
    <sheet name="ZŠ Komenského" sheetId="15" r:id="rId15"/>
    <sheet name="ZŠ,MŠ Kpt.Nálepky" sheetId="16" r:id="rId16"/>
    <sheet name="ZŠ,MŠ Kupkova" sheetId="17" r:id="rId17"/>
    <sheet name="ZŠ Na Valtické" sheetId="18" r:id="rId18"/>
    <sheet name="ZŠ Slovácká" sheetId="19" r:id="rId19"/>
    <sheet name="ZŠ J.Noháče" sheetId="20" r:id="rId20"/>
    <sheet name="ZUŠ " sheetId="21" r:id="rId21"/>
  </sheets>
  <definedNames/>
  <calcPr fullCalcOnLoad="1"/>
</workbook>
</file>

<file path=xl/comments15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8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19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<sst xmlns="http://schemas.openxmlformats.org/spreadsheetml/2006/main" count="3750" uniqueCount="744">
  <si>
    <t>Kraj: Jihomoravský</t>
  </si>
  <si>
    <t>Okres: Břeclav</t>
  </si>
  <si>
    <t>Město: Břeclav</t>
  </si>
  <si>
    <t xml:space="preserve">                    Tabulka doplňujících ukazatelů za období 9/2013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</si>
  <si>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</si>
  <si>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</si>
  <si>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</si>
  <si>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</si>
  <si>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</si>
  <si>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</si>
  <si>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</si>
  <si>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</si>
  <si>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</si>
  <si>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</si>
  <si>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</si>
  <si>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</si>
  <si>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</si>
  <si>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</si>
  <si>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</si>
  <si>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</si>
  <si>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</si>
  <si>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</si>
  <si>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</si>
  <si>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</si>
  <si>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2013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</si>
  <si>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</si>
  <si>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</si>
  <si>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</si>
  <si>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</si>
  <si>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</si>
  <si>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</si>
  <si>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</si>
  <si>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</si>
  <si>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1-9/2013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</si>
  <si>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</si>
  <si>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</si>
  <si>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</si>
  <si>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</si>
  <si>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</si>
  <si>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</si>
  <si>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</si>
  <si>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</si>
  <si>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</si>
  <si>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</si>
  <si>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</si>
  <si>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</si>
  <si>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</si>
  <si>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</si>
  <si>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</si>
  <si>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</si>
  <si>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</si>
  <si>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</si>
  <si>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</si>
  <si>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</si>
  <si>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</si>
  <si>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</si>
  <si>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</si>
  <si>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</si>
  <si>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</si>
  <si>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</si>
  <si>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</si>
  <si>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</si>
  <si>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</si>
  <si>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</si>
  <si>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</si>
  <si>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</si>
  <si>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</si>
  <si>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</si>
  <si>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</si>
  <si>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</si>
  <si>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</si>
  <si>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</si>
  <si>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</si>
  <si>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</si>
  <si>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</si>
  <si>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</si>
  <si>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</si>
  <si>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</si>
  <si>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</si>
  <si>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</si>
  <si>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</si>
  <si>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</si>
  <si>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</si>
  <si>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</si>
  <si>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</si>
  <si>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</si>
  <si>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</si>
  <si>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</si>
  <si>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</si>
  <si>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SF-kompostéry,revit. Podzámčí,Rytopeky,Včelínek</t>
  </si>
  <si>
    <t>Ost. neinv. přij. transfery ze SR - prevence kriminality</t>
  </si>
  <si>
    <t>Ostat. neinv. přij. transfery ze SR a ESF - aktiv. politika zaměst.</t>
  </si>
  <si>
    <t>Ost. neinv. přij. transf. SR-kompostéry,revit.Podzámčí,Rytopeky,Včelínek</t>
  </si>
  <si>
    <t>Neinv. řpij. transf. od krajů-Udržování čistoty cyklistických komunikací</t>
  </si>
  <si>
    <t>Neinv. přij. transf. od krajů -Zdravé municipality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</si>
  <si>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</si>
  <si>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</si>
  <si>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</si>
  <si>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Břeclav bez bariér-I. etapa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</si>
  <si>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</si>
  <si>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</si>
  <si>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</si>
  <si>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Ostat. investič. přij. transf. ze SR-MěÚ Břeclav</t>
  </si>
  <si>
    <t>Ostat. investič. přij. transf. ze SR-Domov seniorů Břeclav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</si>
  <si>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</si>
  <si>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</si>
  <si>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</si>
  <si>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</si>
  <si>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</si>
  <si>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</t>
  </si>
  <si>
    <t>Investič. přij. transf. od krajů - Family point - Budovatelská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</si>
  <si>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</si>
  <si>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</si>
  <si>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</si>
  <si>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</si>
  <si>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</si>
  <si>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</si>
  <si>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</si>
  <si>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</si>
  <si>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</si>
  <si>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</si>
  <si>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</si>
  <si>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</si>
  <si>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</si>
  <si>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</si>
  <si>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</si>
  <si>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</si>
  <si>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</si>
  <si>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</si>
  <si>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</si>
  <si>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senátu a zastupitelstev krajů</t>
  </si>
  <si>
    <t>Neinvestič. přij. transf. ze SR - 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</si>
  <si>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</si>
  <si>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</si>
  <si>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</si>
  <si>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</si>
  <si>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</si>
  <si>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</si>
  <si>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Neinvestič. přij. transfery ze SR - Good Governance na MěÚ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</si>
  <si>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</si>
  <si>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</si>
  <si>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</si>
  <si>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</si>
  <si>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</si>
  <si>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</si>
  <si>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</si>
  <si>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</si>
  <si>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</si>
  <si>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</si>
  <si>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</si>
  <si>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</si>
  <si>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</si>
  <si>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</si>
  <si>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</si>
  <si>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</si>
  <si>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</si>
  <si>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</si>
  <si>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</si>
  <si>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</si>
  <si>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</si>
  <si>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</si>
  <si>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</si>
  <si>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</si>
  <si>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</si>
  <si>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</si>
  <si>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</si>
  <si>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</si>
  <si>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</si>
  <si>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</si>
  <si>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</si>
  <si>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</si>
  <si>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</si>
  <si>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</si>
  <si>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</si>
  <si>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</si>
  <si>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</si>
  <si>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</si>
  <si>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</si>
  <si>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</si>
  <si>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</si>
  <si>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</si>
  <si>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krajů-EVVO-MŠ Břeclav,Hřbitovní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</si>
  <si>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</si>
  <si>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</si>
  <si>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</si>
  <si>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</si>
  <si>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</si>
  <si>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</si>
  <si>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</si>
  <si>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</si>
  <si>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</si>
  <si>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</si>
  <si>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Sankční platby přijaté od jiných subj. - ostat. správa v prům., obch., stav.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</si>
  <si>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</si>
  <si>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</si>
  <si>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</si>
  <si>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Přijaté nekapitálové příspěvky jinde nezařaz.-vnitřní správa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</si>
  <si>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</si>
  <si>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</si>
  <si>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</si>
  <si>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</si>
  <si>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</si>
  <si>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</si>
  <si>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</si>
  <si>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</si>
  <si>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</si>
  <si>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</si>
  <si>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</si>
  <si>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</si>
  <si>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</si>
  <si>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</si>
  <si>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</si>
  <si>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</si>
  <si>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</si>
  <si>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</si>
  <si>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</si>
  <si>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</si>
  <si>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</si>
  <si>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</si>
  <si>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</si>
  <si>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</si>
  <si>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</si>
  <si>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</si>
  <si>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</si>
  <si>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</si>
  <si>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</si>
  <si>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</si>
  <si>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</si>
  <si>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</si>
  <si>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</si>
  <si>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</si>
  <si>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</si>
  <si>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</si>
  <si>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</si>
  <si>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</si>
  <si>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</si>
  <si>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</si>
  <si>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</si>
  <si>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</si>
  <si>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</si>
  <si>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</si>
  <si>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</si>
  <si>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</si>
  <si>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</si>
  <si>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</si>
  <si>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</si>
  <si>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</si>
  <si>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</si>
  <si>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</si>
  <si>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</si>
  <si>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</si>
  <si>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</si>
  <si>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</si>
  <si>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</si>
  <si>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</si>
  <si>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</si>
  <si>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</si>
  <si>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</si>
  <si>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</si>
  <si>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</si>
  <si>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</si>
  <si>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</si>
  <si>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</si>
  <si>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</si>
  <si>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</si>
  <si>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</si>
  <si>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</si>
  <si>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</si>
  <si>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</si>
  <si>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</si>
  <si>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</si>
  <si>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</si>
  <si>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</si>
  <si>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</si>
  <si>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</si>
  <si>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</si>
  <si>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</si>
  <si>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</si>
  <si>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</si>
  <si>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</si>
  <si>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</si>
  <si>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</si>
  <si>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</si>
  <si>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</si>
  <si>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</si>
  <si>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</si>
  <si>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</si>
  <si>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</si>
  <si>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</si>
  <si>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</si>
  <si>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</si>
  <si>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</si>
  <si>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</si>
  <si>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</si>
  <si>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</si>
  <si>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</si>
  <si>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</si>
  <si>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</si>
  <si>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</si>
  <si>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</si>
  <si>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</si>
  <si>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</si>
  <si>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</si>
  <si>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</si>
  <si>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</si>
  <si>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</si>
  <si>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2013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</si>
  <si>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</si>
  <si>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</si>
  <si>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</si>
  <si>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</si>
  <si>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</si>
  <si>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</si>
  <si>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</si>
  <si>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</si>
  <si>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</si>
  <si>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</si>
  <si>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</si>
  <si>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</si>
  <si>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</si>
  <si>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</si>
  <si>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</si>
  <si>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</si>
  <si>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</si>
  <si>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</si>
  <si>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</si>
  <si>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</si>
  <si>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</si>
  <si>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</si>
  <si>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</si>
  <si>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</si>
  <si>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</si>
  <si>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</si>
  <si>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</si>
  <si>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</si>
  <si>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</si>
  <si>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</si>
  <si>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</si>
  <si>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</si>
  <si>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</si>
  <si>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</si>
  <si>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</si>
  <si>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</si>
  <si>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</si>
  <si>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</si>
  <si>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</si>
  <si>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</si>
  <si>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</si>
  <si>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</si>
  <si>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</si>
  <si>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</si>
  <si>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</si>
  <si>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</si>
  <si>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</si>
  <si>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</si>
  <si>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</si>
  <si>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</si>
  <si>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</si>
  <si>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</si>
  <si>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</si>
  <si>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</si>
  <si>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</si>
  <si>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</si>
  <si>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Péče o vzhled obcí a veřejnou zeleň</t>
  </si>
  <si>
    <t xml:space="preserve">Prevence kriminality </t>
  </si>
  <si>
    <t>Domovy seniorů</t>
  </si>
  <si>
    <t>Ochrana obyvatelstva</t>
  </si>
  <si>
    <t xml:space="preserve">Mezinárodní spolupráce </t>
  </si>
  <si>
    <t>Vnitřní správa</t>
  </si>
  <si>
    <t>Projektová a manažerská příprava na vybrané investiční akce</t>
  </si>
  <si>
    <t>Činnost muzeí a galerií - v 7/2013 převod rozpočtu 295 tis. na 010 OŠKMS</t>
  </si>
  <si>
    <t>Mezisoučet</t>
  </si>
  <si>
    <t>Kupkova-komunikace a chod. s odvodněním</t>
  </si>
  <si>
    <t>Pisníky-vozovka a chodníky</t>
  </si>
  <si>
    <t>Hájky-Habrova seč-přístupová komunikace</t>
  </si>
  <si>
    <t>Komunikace Fibichova</t>
  </si>
  <si>
    <t>Nákup zametacího stroje</t>
  </si>
  <si>
    <t>Cyklostezka Cukrovar-Poštorná</t>
  </si>
  <si>
    <t>Parkoviště Budovatelská</t>
  </si>
  <si>
    <t>Slovácká-regenerace veřejných prostranství</t>
  </si>
  <si>
    <t xml:space="preserve">Břeclav bez bariér 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</si>
  <si>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</si>
  <si>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</si>
  <si>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</si>
  <si>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</si>
  <si>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</si>
  <si>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</si>
  <si>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Regenerace panel. sídl. Slovácká II. etapa</t>
  </si>
  <si>
    <t>IPRM Valtická-kamerový systém</t>
  </si>
  <si>
    <t>Integr. přestupní terminál IDS JMK</t>
  </si>
  <si>
    <t>IDS-okružní křižovatka + roč. nájem za pozemky ČD</t>
  </si>
  <si>
    <t>Zpracování digitálního protipovodňového plánu-program. vybavení</t>
  </si>
  <si>
    <t>MŠ Kpt. Nálepky - zateplení</t>
  </si>
  <si>
    <t>MŠ Na Valtické - zateplení</t>
  </si>
  <si>
    <t>MŠ Osvobození-zateplení, otvor. výplně</t>
  </si>
  <si>
    <t>MŠ Okružní-stav.úpravy, zateplení</t>
  </si>
  <si>
    <t>ZŠ Kupkova - zateplení</t>
  </si>
  <si>
    <t>ZŠ J. Noháče - zateplení, vým. otvor. výplní</t>
  </si>
  <si>
    <t xml:space="preserve">Kino Koruna - vzduchotechnika </t>
  </si>
  <si>
    <t>Skatepark Na Valtické</t>
  </si>
  <si>
    <t>Smuteční obřadní síně-projektová dokumentace</t>
  </si>
  <si>
    <t>IOP-územní plán</t>
  </si>
  <si>
    <t>Využívání a zneškodňování ost. odpadů-Třídění bioodpadu-kompostéry I.et.</t>
  </si>
  <si>
    <t>Podpora proj. Family Point-místo k setkání rodin-Budovatelská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</si>
  <si>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</si>
  <si>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</si>
  <si>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</si>
  <si>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Prevence kriminality - Zabezpečení sociál. vyloučené lokality</t>
  </si>
  <si>
    <t>Prev. kriminality-Bezpeč. Břeclav-Měst. kamer. dohlížecí systém</t>
  </si>
  <si>
    <t>Prev. kriminality-Bezpeč. Břeclav-Měst. kamer. dohlíž. systém-přístroje,zař.</t>
  </si>
  <si>
    <t>Domov seniorů  Břeclav - osazení termostatických ventilů</t>
  </si>
  <si>
    <t>Domov seniorů Břeclav - bezbariérový vstup</t>
  </si>
  <si>
    <t>Azylový dům</t>
  </si>
  <si>
    <t>Vnitřní správa - MěÚ rek. sociálního zařízení</t>
  </si>
  <si>
    <t>Investice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</si>
  <si>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</si>
  <si>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</si>
  <si>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</si>
  <si>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</si>
  <si>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</si>
  <si>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</si>
  <si>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</si>
  <si>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</si>
  <si>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</si>
  <si>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</si>
  <si>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</si>
  <si>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</si>
  <si>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</si>
  <si>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</si>
  <si>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</si>
  <si>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</si>
  <si>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</si>
  <si>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</si>
  <si>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</si>
  <si>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</si>
  <si>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</si>
  <si>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</si>
  <si>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</si>
  <si>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</si>
  <si>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</si>
  <si>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</si>
  <si>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(příspěvek 8 200 + 4 000 přech. výpomoc)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</si>
  <si>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</si>
  <si>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</si>
  <si>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</si>
  <si>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</si>
  <si>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</si>
  <si>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</si>
  <si>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</si>
  <si>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 xml:space="preserve"> 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</si>
  <si>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</si>
  <si>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</si>
  <si>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</si>
  <si>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</si>
  <si>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</si>
  <si>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</si>
  <si>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</si>
  <si>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</si>
  <si>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</si>
  <si>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</si>
  <si>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</si>
  <si>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</si>
  <si>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</si>
  <si>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</si>
  <si>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</si>
  <si>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</si>
  <si>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</si>
  <si>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</si>
  <si>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</si>
  <si>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</si>
  <si>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</si>
  <si>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</si>
  <si>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</si>
  <si>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</si>
  <si>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</si>
  <si>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</si>
  <si>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</si>
  <si>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</si>
  <si>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</si>
  <si>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</si>
  <si>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</si>
  <si>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</si>
  <si>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</si>
  <si>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</si>
  <si>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</si>
  <si>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</si>
  <si>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</si>
  <si>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</si>
  <si>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</si>
  <si>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</si>
  <si>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2013</t>
  </si>
  <si>
    <t>Příloha č.7 - Pravidla vztahů Města Břeclavi k PO</t>
  </si>
  <si>
    <t xml:space="preserve">Příspěvková organizace :   </t>
  </si>
  <si>
    <t>Domov seniorů Břeclav</t>
  </si>
  <si>
    <t>v  tisicích Kč, bez des.míst</t>
  </si>
  <si>
    <t>měsíc</t>
  </si>
  <si>
    <t>r.2013</t>
  </si>
  <si>
    <t>Plnění</t>
  </si>
  <si>
    <t>řádek</t>
  </si>
  <si>
    <t>r.2000</t>
  </si>
  <si>
    <t>r.2001</t>
  </si>
  <si>
    <t>účet</t>
  </si>
  <si>
    <t>r.2009</t>
  </si>
  <si>
    <t>r.2010</t>
  </si>
  <si>
    <t>R.2011</t>
  </si>
  <si>
    <t>R.2012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</si>
  <si>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</si>
  <si>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</si>
  <si>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</si>
  <si>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</si>
  <si>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</si>
  <si>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</si>
  <si>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</si>
  <si>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</si>
  <si>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</si>
  <si>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</si>
  <si>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</si>
  <si>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</si>
  <si>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</si>
  <si>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</si>
  <si>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</si>
  <si>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</si>
  <si>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</si>
  <si>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</si>
  <si>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</si>
  <si>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</si>
  <si>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</si>
  <si>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</si>
  <si>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</si>
  <si>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</si>
  <si>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</si>
  <si>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</si>
  <si>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</si>
  <si>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</si>
  <si>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</si>
  <si>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</si>
  <si>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</si>
  <si>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</si>
  <si>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</si>
  <si>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</si>
  <si>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</si>
  <si>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</si>
  <si>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</si>
  <si>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</si>
  <si>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</si>
  <si>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</si>
  <si>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</si>
  <si>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</si>
  <si>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</si>
  <si>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</si>
  <si>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</si>
  <si>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</si>
  <si>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</si>
  <si>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</si>
  <si>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</si>
  <si>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</si>
  <si>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</si>
  <si>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</si>
  <si>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</si>
  <si>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</si>
  <si>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</si>
  <si>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</si>
  <si>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</si>
  <si>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</si>
  <si>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</si>
  <si>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</si>
  <si>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</si>
  <si>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</si>
  <si>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</si>
  <si>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</si>
  <si>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</si>
  <si>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</si>
  <si>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</si>
  <si>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</si>
  <si>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</si>
  <si>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</si>
  <si>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</si>
  <si>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</si>
  <si>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</si>
  <si>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</si>
  <si>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</si>
  <si>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</si>
  <si>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</si>
  <si>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</si>
  <si>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</si>
  <si>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</si>
  <si>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</si>
  <si>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</si>
  <si>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</si>
  <si>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</si>
  <si>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</si>
  <si>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</si>
  <si>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</si>
  <si>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</si>
  <si>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</si>
  <si>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2013</t>
  </si>
  <si>
    <t xml:space="preserve"> Tereza Břeclav</t>
  </si>
  <si>
    <t>Dlouhodobý hm.majetek (DHIM)</t>
  </si>
  <si>
    <t>Oprávky k DHIM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</si>
  <si>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</si>
  <si>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</si>
  <si>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</si>
  <si>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</si>
  <si>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</si>
  <si>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</si>
  <si>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</si>
  <si>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</si>
  <si>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</si>
  <si>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</si>
  <si>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</si>
  <si>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Městské muzeum a galerie Břeclav</t>
  </si>
  <si>
    <t>r.2011</t>
  </si>
  <si>
    <t>Městská knihovna Břeclav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</si>
  <si>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</si>
  <si>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</si>
  <si>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</si>
  <si>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</si>
  <si>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</si>
  <si>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</si>
  <si>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</si>
  <si>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</si>
  <si>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</si>
  <si>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</si>
  <si>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</si>
  <si>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</si>
  <si>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</si>
  <si>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</si>
  <si>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</si>
  <si>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</si>
  <si>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</si>
  <si>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</si>
  <si>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</si>
  <si>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</si>
  <si>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</si>
  <si>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</si>
  <si>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</si>
  <si>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</si>
  <si>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</si>
  <si>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</si>
  <si>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</si>
  <si>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</si>
  <si>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</si>
  <si>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</si>
  <si>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</si>
  <si>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</si>
  <si>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</si>
  <si>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</si>
  <si>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</si>
  <si>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</si>
  <si>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</si>
  <si>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</si>
  <si>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</si>
  <si>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</si>
  <si>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</si>
  <si>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</si>
  <si>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</si>
  <si>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</si>
  <si>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</si>
  <si>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</si>
  <si>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</si>
  <si>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</si>
  <si>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</si>
  <si>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</si>
  <si>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</si>
  <si>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</si>
  <si>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Pasport vybraných rozvahových a výsledovkových položek - ze závěrky k 30.09.2013</t>
  </si>
  <si>
    <t>4002 MŠ Břeclav, Břetislavova</t>
  </si>
  <si>
    <t>r. 2010</t>
  </si>
  <si>
    <t>r. 2011</t>
  </si>
  <si>
    <t>r. 2012</t>
  </si>
  <si>
    <t>Rozpočet 2013</t>
  </si>
  <si>
    <t>r. 2013</t>
  </si>
  <si>
    <t xml:space="preserve">Závěrka </t>
  </si>
  <si>
    <t>r.2007</t>
  </si>
  <si>
    <t>r.2008</t>
  </si>
  <si>
    <t>uprvený</t>
  </si>
  <si>
    <t>k 30.6.13</t>
  </si>
  <si>
    <t>k 30.9.13</t>
  </si>
  <si>
    <t>k 31.12.13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</si>
  <si>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</si>
  <si>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</si>
  <si>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</si>
  <si>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</si>
  <si>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</si>
  <si>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</si>
  <si>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</si>
  <si>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</si>
  <si>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</si>
  <si>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</si>
  <si>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</si>
  <si>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</si>
  <si>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</si>
  <si>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</si>
  <si>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</si>
  <si>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</si>
  <si>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</si>
  <si>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</si>
  <si>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</si>
  <si>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"Závěrka - k 30.9.13". Zelené buňky nevyplňovat, jsou zavzorcované, vypočte se samo.</t>
  </si>
  <si>
    <t>Vyplnit také počty pracovníků - fyzický i přepočtený stav !!!</t>
  </si>
  <si>
    <t>V Břeclavi dne: 14.10.2013</t>
  </si>
  <si>
    <t>Zpracoval: PETS – Hajdinová  (Novotná)</t>
  </si>
  <si>
    <t>komentář: v řádku Spotřeba energií je i částka spotřeby vodného, účtované na účtu 503</t>
  </si>
  <si>
    <t>4004 MŠ Břeclav, Hřbitovní</t>
  </si>
  <si>
    <t>V Břeclavi dne: 16.10.2013</t>
  </si>
  <si>
    <t>Zpracoval: Trněná, 519327369</t>
  </si>
  <si>
    <t>4005 MŠ Břeclav, Na Valtické</t>
  </si>
  <si>
    <t>V Břeclavi dne: 15.10.2013</t>
  </si>
  <si>
    <t>Zpracoval: Lenky Cyprisová</t>
  </si>
  <si>
    <t xml:space="preserve">Příspěvková organizace:   </t>
  </si>
  <si>
    <t>4006 MŠ Břeclav,  Slovácká</t>
  </si>
  <si>
    <t>Zpracoval: Strýčková Blanka</t>
  </si>
  <si>
    <t>4007 MŠ Břeclav, U Splavu</t>
  </si>
  <si>
    <t>Zpracoval: Césarová</t>
  </si>
  <si>
    <t>4010 MŠ Břeclav, Okružní</t>
  </si>
  <si>
    <t>Zpracoval: Lenka Cyprisová</t>
  </si>
  <si>
    <t>Komentář: v řádku Spotřeba energií je i částka spotřeby vodného, účtované na účtu 503</t>
  </si>
  <si>
    <t>4011 MŠ Břeclav, Osvobození</t>
  </si>
  <si>
    <t>Zpracoval: Leny Cyprisová</t>
  </si>
  <si>
    <t>4204 ZŠ Břeclav, Komenského</t>
  </si>
  <si>
    <r>
      <t xml:space="preserve">Škola získala </t>
    </r>
    <r>
      <rPr>
        <b/>
        <sz val="10"/>
        <rFont val="Arial"/>
        <family val="2"/>
      </rPr>
      <t>839,87 tis. Kč</t>
    </r>
    <r>
      <rPr>
        <sz val="10"/>
        <rFont val="Arial"/>
        <family val="0"/>
      </rPr>
      <t xml:space="preserve"> z projektu EU Peníze školám. V roce 2011 bylo vyčerpáno 803,32 tis. Kč.</t>
    </r>
  </si>
  <si>
    <t>Zpracoval: Hlávková Renata</t>
  </si>
  <si>
    <t>4205 ZŠ a MŠ Břeclav, Kpt. Nálepky</t>
  </si>
  <si>
    <t>Škola získala 839,87 tis. Kč z projektu EU Peníze školám. Celá částka byla v roce 2011 vyčerpána.</t>
  </si>
  <si>
    <t>Škola získala 608,26 tis. Kč z projektu EU Peníze školám. V roce 2011 bylo vyčerpáno 278,35 tis. Kč.</t>
  </si>
  <si>
    <t>V Břeclavi dne: 15.9.2013</t>
  </si>
  <si>
    <t>Zpracoval: Alžběta Komárková</t>
  </si>
  <si>
    <t>4206 ZŠ a MŠ Břeclav, Kupkova  (od 1.1.2010 je součástí školy  i MŠ Dukel.hrdinů - 4003) - MŠ DH přičtena i v r.2007, 2008, 2009</t>
  </si>
  <si>
    <t xml:space="preserve">Pozn.: </t>
  </si>
  <si>
    <t>Škola v kalendářním roce 2012 vyčerpala z dotací Comenius  celkem 408 tis. Kč, projektu EU-peníze školám 841 tis. Kč.</t>
  </si>
  <si>
    <t>Zpracoval:  Cupalová</t>
  </si>
  <si>
    <t>Komentář: v řádku Spotřeba energií je i částka spotřeby vodného</t>
  </si>
  <si>
    <t>4207 ZŠ Břeclav,  Na Valtické 31 A</t>
  </si>
  <si>
    <t>r. 2009</t>
  </si>
  <si>
    <t>Škola získala 793,87 tis. Kč z projektu EU Peníze školám. V roce 2011 bylo vyčerpáno 380,2 tis. Kč.</t>
  </si>
  <si>
    <t>V Břeclavi dne: 15. 10. 2013</t>
  </si>
  <si>
    <t>Zpracoval: I. Frýbertová</t>
  </si>
  <si>
    <t xml:space="preserve">  </t>
  </si>
  <si>
    <t>4209 - ZŠ Břeclav, Slovácká 40</t>
  </si>
  <si>
    <t>Zpracoval: Menšíková Jana</t>
  </si>
  <si>
    <t>4211 ZŠ J. Noháče, Břeclav</t>
  </si>
  <si>
    <t>Škola získala 522,65 tis. Kč z projektu EU Peníze školám. V roce 2011 bylo vyčerpáno.</t>
  </si>
  <si>
    <t>4306 ZUŠ Břeclav</t>
  </si>
  <si>
    <t>Zpracoval: PETS – Hajdinová (Novotná)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</si>
</sst>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#,##0.0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b/>
      <sz val="10"/>
      <name val="Arial Narrow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11"/>
      <color indexed="12"/>
      <name val="Arial CE"/>
      <family val="2"/>
    </font>
    <font>
      <b/>
      <i/>
      <sz val="11"/>
      <color indexed="12"/>
      <name val="Arial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83" fillId="23" borderId="6" applyNumberFormat="0" applyFont="0" applyAlignment="0" applyProtection="0"/>
    <xf numFmtId="9" fontId="83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163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6" xfId="46" applyFont="1" applyFill="1" applyBorder="1" applyAlignment="1">
      <alignment horizontal="right"/>
      <protection/>
    </xf>
    <xf numFmtId="0" fontId="9" fillId="0" borderId="16" xfId="46" applyFont="1" applyFill="1" applyBorder="1" applyAlignment="1">
      <alignment horizontal="left"/>
      <protection/>
    </xf>
    <xf numFmtId="0" fontId="9" fillId="0" borderId="18" xfId="46" applyFont="1" applyFill="1" applyBorder="1" applyAlignment="1">
      <alignment horizontal="right"/>
      <protection/>
    </xf>
    <xf numFmtId="0" fontId="9" fillId="0" borderId="17" xfId="46" applyFont="1" applyFill="1" applyBorder="1" applyAlignment="1">
      <alignment horizontal="right"/>
      <protection/>
    </xf>
    <xf numFmtId="0" fontId="9" fillId="0" borderId="19" xfId="0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100" fillId="0" borderId="0" xfId="0" applyNumberFormat="1" applyFont="1" applyFill="1" applyBorder="1" applyAlignment="1">
      <alignment/>
    </xf>
    <xf numFmtId="4" fontId="10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22" xfId="46" applyFont="1" applyFill="1" applyBorder="1" applyAlignment="1">
      <alignment horizontal="left"/>
      <protection/>
    </xf>
    <xf numFmtId="0" fontId="9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2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4" fontId="100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44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46" xfId="46" applyNumberFormat="1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6" fillId="0" borderId="28" xfId="46" applyNumberFormat="1" applyFont="1" applyFill="1" applyBorder="1" applyAlignment="1">
      <alignment horizontal="center"/>
      <protection/>
    </xf>
    <xf numFmtId="49" fontId="6" fillId="0" borderId="28" xfId="46" applyNumberFormat="1" applyFont="1" applyFill="1" applyBorder="1" applyAlignment="1">
      <alignment horizontal="center"/>
      <protection/>
    </xf>
    <xf numFmtId="4" fontId="9" fillId="0" borderId="15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/>
      <protection hidden="1"/>
    </xf>
    <xf numFmtId="165" fontId="0" fillId="0" borderId="11" xfId="0" applyNumberFormat="1" applyFill="1" applyBorder="1" applyAlignment="1" applyProtection="1">
      <alignment horizontal="center"/>
      <protection hidden="1"/>
    </xf>
    <xf numFmtId="165" fontId="0" fillId="0" borderId="49" xfId="0" applyNumberForma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165" fontId="0" fillId="0" borderId="50" xfId="0" applyNumberFormat="1" applyFill="1" applyBorder="1" applyAlignment="1" applyProtection="1">
      <alignment/>
      <protection locked="0"/>
    </xf>
    <xf numFmtId="165" fontId="0" fillId="0" borderId="1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5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3" fontId="26" fillId="0" borderId="51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3" fontId="26" fillId="0" borderId="53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/>
      <protection locked="0"/>
    </xf>
    <xf numFmtId="3" fontId="26" fillId="0" borderId="51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3" fontId="26" fillId="0" borderId="55" xfId="0" applyNumberFormat="1" applyFont="1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/>
      <protection hidden="1"/>
    </xf>
    <xf numFmtId="0" fontId="0" fillId="0" borderId="57" xfId="0" applyFill="1" applyBorder="1" applyAlignment="1" applyProtection="1">
      <alignment/>
      <protection hidden="1"/>
    </xf>
    <xf numFmtId="1" fontId="0" fillId="0" borderId="58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3" fontId="26" fillId="0" borderId="51" xfId="0" applyNumberFormat="1" applyFont="1" applyFill="1" applyBorder="1" applyAlignment="1" applyProtection="1">
      <alignment/>
      <protection hidden="1"/>
    </xf>
    <xf numFmtId="3" fontId="26" fillId="0" borderId="44" xfId="0" applyNumberFormat="1" applyFont="1" applyFill="1" applyBorder="1" applyAlignment="1" applyProtection="1">
      <alignment/>
      <protection hidden="1"/>
    </xf>
    <xf numFmtId="3" fontId="26" fillId="0" borderId="51" xfId="0" applyNumberFormat="1" applyFont="1" applyFill="1" applyBorder="1" applyAlignment="1" applyProtection="1">
      <alignment/>
      <protection locked="0"/>
    </xf>
    <xf numFmtId="3" fontId="26" fillId="0" borderId="52" xfId="0" applyNumberFormat="1" applyFont="1" applyFill="1" applyBorder="1" applyAlignment="1" applyProtection="1">
      <alignment/>
      <protection hidden="1"/>
    </xf>
    <xf numFmtId="3" fontId="26" fillId="0" borderId="59" xfId="0" applyNumberFormat="1" applyFont="1" applyFill="1" applyBorder="1" applyAlignment="1" applyProtection="1">
      <alignment/>
      <protection hidden="1"/>
    </xf>
    <xf numFmtId="3" fontId="26" fillId="0" borderId="52" xfId="0" applyNumberFormat="1" applyFont="1" applyFill="1" applyBorder="1" applyAlignment="1" applyProtection="1">
      <alignment/>
      <protection locked="0"/>
    </xf>
    <xf numFmtId="3" fontId="26" fillId="0" borderId="55" xfId="0" applyNumberFormat="1" applyFont="1" applyFill="1" applyBorder="1" applyAlignment="1" applyProtection="1">
      <alignment/>
      <protection hidden="1"/>
    </xf>
    <xf numFmtId="3" fontId="26" fillId="0" borderId="60" xfId="0" applyNumberFormat="1" applyFont="1" applyFill="1" applyBorder="1" applyAlignment="1" applyProtection="1">
      <alignment/>
      <protection hidden="1"/>
    </xf>
    <xf numFmtId="3" fontId="26" fillId="0" borderId="55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3" fontId="27" fillId="0" borderId="50" xfId="0" applyNumberFormat="1" applyFont="1" applyFill="1" applyBorder="1" applyAlignment="1" applyProtection="1">
      <alignment horizontal="center"/>
      <protection hidden="1"/>
    </xf>
    <xf numFmtId="3" fontId="27" fillId="0" borderId="50" xfId="0" applyNumberFormat="1" applyFont="1" applyFill="1" applyBorder="1" applyAlignment="1" applyProtection="1">
      <alignment/>
      <protection hidden="1"/>
    </xf>
    <xf numFmtId="3" fontId="27" fillId="0" borderId="61" xfId="0" applyNumberFormat="1" applyFont="1" applyFill="1" applyBorder="1" applyAlignment="1" applyProtection="1">
      <alignment/>
      <protection hidden="1"/>
    </xf>
    <xf numFmtId="3" fontId="27" fillId="0" borderId="62" xfId="0" applyNumberFormat="1" applyFont="1" applyFill="1" applyBorder="1" applyAlignment="1" applyProtection="1">
      <alignment/>
      <protection hidden="1"/>
    </xf>
    <xf numFmtId="166" fontId="27" fillId="0" borderId="62" xfId="0" applyNumberFormat="1" applyFont="1" applyFill="1" applyBorder="1" applyAlignment="1" applyProtection="1">
      <alignment horizontal="right"/>
      <protection hidden="1"/>
    </xf>
    <xf numFmtId="0" fontId="31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63" xfId="0" applyFont="1" applyFill="1" applyBorder="1" applyAlignment="1" applyProtection="1">
      <alignment/>
      <protection hidden="1"/>
    </xf>
    <xf numFmtId="0" fontId="22" fillId="0" borderId="62" xfId="0" applyFont="1" applyFill="1" applyBorder="1" applyAlignment="1" applyProtection="1">
      <alignment/>
      <protection hidden="1"/>
    </xf>
    <xf numFmtId="0" fontId="23" fillId="0" borderId="62" xfId="0" applyFont="1" applyFill="1" applyBorder="1" applyAlignment="1" applyProtection="1">
      <alignment horizontal="center"/>
      <protection hidden="1"/>
    </xf>
    <xf numFmtId="0" fontId="22" fillId="0" borderId="64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0" fillId="0" borderId="65" xfId="0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/>
      <protection hidden="1"/>
    </xf>
    <xf numFmtId="0" fontId="19" fillId="0" borderId="49" xfId="0" applyFont="1" applyFill="1" applyBorder="1" applyAlignment="1" applyProtection="1">
      <alignment horizontal="center"/>
      <protection hidden="1"/>
    </xf>
    <xf numFmtId="0" fontId="0" fillId="0" borderId="66" xfId="0" applyFill="1" applyBorder="1" applyAlignment="1" applyProtection="1">
      <alignment/>
      <protection hidden="1"/>
    </xf>
    <xf numFmtId="0" fontId="0" fillId="0" borderId="67" xfId="0" applyFill="1" applyBorder="1" applyAlignment="1" applyProtection="1">
      <alignment/>
      <protection hidden="1"/>
    </xf>
    <xf numFmtId="0" fontId="9" fillId="0" borderId="67" xfId="0" applyFont="1" applyFill="1" applyBorder="1" applyAlignment="1" applyProtection="1">
      <alignment horizontal="center"/>
      <protection hidden="1"/>
    </xf>
    <xf numFmtId="0" fontId="24" fillId="0" borderId="68" xfId="0" applyFont="1" applyFill="1" applyBorder="1" applyAlignment="1" applyProtection="1">
      <alignment horizontal="center"/>
      <protection hidden="1"/>
    </xf>
    <xf numFmtId="0" fontId="25" fillId="0" borderId="58" xfId="0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 horizontal="center"/>
      <protection hidden="1"/>
    </xf>
    <xf numFmtId="0" fontId="0" fillId="0" borderId="57" xfId="0" applyFill="1" applyBorder="1" applyAlignment="1" applyProtection="1">
      <alignment horizontal="center"/>
      <protection hidden="1"/>
    </xf>
    <xf numFmtId="0" fontId="19" fillId="0" borderId="54" xfId="0" applyFont="1" applyFill="1" applyBorder="1" applyAlignment="1" applyProtection="1">
      <alignment horizontal="center"/>
      <protection hidden="1"/>
    </xf>
    <xf numFmtId="0" fontId="0" fillId="0" borderId="69" xfId="0" applyFill="1" applyBorder="1" applyAlignment="1" applyProtection="1">
      <alignment horizontal="center"/>
      <protection hidden="1"/>
    </xf>
    <xf numFmtId="0" fontId="24" fillId="0" borderId="56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0" fillId="0" borderId="51" xfId="0" applyFill="1" applyBorder="1" applyAlignment="1" applyProtection="1">
      <alignment/>
      <protection hidden="1"/>
    </xf>
    <xf numFmtId="165" fontId="0" fillId="0" borderId="51" xfId="0" applyNumberFormat="1" applyFill="1" applyBorder="1" applyAlignment="1" applyProtection="1">
      <alignment/>
      <protection hidden="1"/>
    </xf>
    <xf numFmtId="165" fontId="19" fillId="0" borderId="51" xfId="0" applyNumberFormat="1" applyFont="1" applyFill="1" applyBorder="1" applyAlignment="1" applyProtection="1">
      <alignment horizontal="right"/>
      <protection locked="0"/>
    </xf>
    <xf numFmtId="165" fontId="0" fillId="0" borderId="70" xfId="0" applyNumberFormat="1" applyFill="1" applyBorder="1" applyAlignment="1" applyProtection="1">
      <alignment/>
      <protection locked="0"/>
    </xf>
    <xf numFmtId="165" fontId="0" fillId="0" borderId="71" xfId="0" applyNumberFormat="1" applyFill="1" applyBorder="1" applyAlignment="1" applyProtection="1">
      <alignment/>
      <protection locked="0"/>
    </xf>
    <xf numFmtId="165" fontId="19" fillId="0" borderId="50" xfId="0" applyNumberFormat="1" applyFont="1" applyFill="1" applyBorder="1" applyAlignment="1" applyProtection="1">
      <alignment horizontal="center"/>
      <protection hidden="1"/>
    </xf>
    <xf numFmtId="3" fontId="19" fillId="0" borderId="72" xfId="0" applyNumberFormat="1" applyFont="1" applyFill="1" applyBorder="1" applyAlignment="1" applyProtection="1">
      <alignment horizontal="center"/>
      <protection hidden="1"/>
    </xf>
    <xf numFmtId="0" fontId="25" fillId="0" borderId="73" xfId="0" applyFont="1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/>
      <protection hidden="1"/>
    </xf>
    <xf numFmtId="165" fontId="0" fillId="0" borderId="53" xfId="0" applyNumberFormat="1" applyFill="1" applyBorder="1" applyAlignment="1" applyProtection="1">
      <alignment/>
      <protection hidden="1"/>
    </xf>
    <xf numFmtId="165" fontId="0" fillId="0" borderId="74" xfId="0" applyNumberFormat="1" applyFill="1" applyBorder="1" applyAlignment="1" applyProtection="1">
      <alignment horizontal="center"/>
      <protection hidden="1"/>
    </xf>
    <xf numFmtId="165" fontId="0" fillId="0" borderId="74" xfId="0" applyNumberFormat="1" applyFill="1" applyBorder="1" applyAlignment="1" applyProtection="1">
      <alignment/>
      <protection hidden="1"/>
    </xf>
    <xf numFmtId="165" fontId="0" fillId="0" borderId="53" xfId="0" applyNumberFormat="1" applyFill="1" applyBorder="1" applyAlignment="1" applyProtection="1">
      <alignment/>
      <protection locked="0"/>
    </xf>
    <xf numFmtId="165" fontId="19" fillId="0" borderId="53" xfId="0" applyNumberFormat="1" applyFont="1" applyFill="1" applyBorder="1" applyAlignment="1" applyProtection="1">
      <alignment horizontal="right"/>
      <protection locked="0"/>
    </xf>
    <xf numFmtId="165" fontId="0" fillId="0" borderId="74" xfId="0" applyNumberFormat="1" applyFill="1" applyBorder="1" applyAlignment="1" applyProtection="1">
      <alignment/>
      <protection locked="0"/>
    </xf>
    <xf numFmtId="165" fontId="0" fillId="0" borderId="69" xfId="0" applyNumberFormat="1" applyFill="1" applyBorder="1" applyAlignment="1" applyProtection="1">
      <alignment/>
      <protection locked="0"/>
    </xf>
    <xf numFmtId="165" fontId="0" fillId="0" borderId="75" xfId="0" applyNumberFormat="1" applyFill="1" applyBorder="1" applyAlignment="1" applyProtection="1">
      <alignment/>
      <protection locked="0"/>
    </xf>
    <xf numFmtId="165" fontId="19" fillId="0" borderId="53" xfId="0" applyNumberFormat="1" applyFont="1" applyFill="1" applyBorder="1" applyAlignment="1" applyProtection="1">
      <alignment/>
      <protection hidden="1"/>
    </xf>
    <xf numFmtId="3" fontId="19" fillId="0" borderId="76" xfId="0" applyNumberFormat="1" applyFont="1" applyFill="1" applyBorder="1" applyAlignment="1" applyProtection="1">
      <alignment horizontal="center"/>
      <protection hidden="1"/>
    </xf>
    <xf numFmtId="0" fontId="25" fillId="0" borderId="44" xfId="0" applyFont="1" applyFill="1" applyBorder="1" applyAlignment="1" applyProtection="1">
      <alignment/>
      <protection hidden="1"/>
    </xf>
    <xf numFmtId="0" fontId="0" fillId="0" borderId="51" xfId="0" applyFill="1" applyBorder="1" applyAlignment="1" applyProtection="1">
      <alignment horizontal="center"/>
      <protection hidden="1"/>
    </xf>
    <xf numFmtId="3" fontId="0" fillId="0" borderId="51" xfId="0" applyNumberFormat="1" applyFill="1" applyBorder="1" applyAlignment="1" applyProtection="1">
      <alignment/>
      <protection hidden="1"/>
    </xf>
    <xf numFmtId="3" fontId="0" fillId="0" borderId="29" xfId="0" applyNumberForma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3" fontId="19" fillId="0" borderId="51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77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3" fontId="19" fillId="0" borderId="52" xfId="0" applyNumberFormat="1" applyFont="1" applyFill="1" applyBorder="1" applyAlignment="1" applyProtection="1">
      <alignment horizontal="center"/>
      <protection hidden="1"/>
    </xf>
    <xf numFmtId="3" fontId="19" fillId="0" borderId="78" xfId="0" applyNumberFormat="1" applyFont="1" applyFill="1" applyBorder="1" applyAlignment="1" applyProtection="1">
      <alignment horizontal="center"/>
      <protection hidden="1"/>
    </xf>
    <xf numFmtId="0" fontId="25" fillId="0" borderId="59" xfId="0" applyFont="1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 horizontal="center"/>
      <protection hidden="1"/>
    </xf>
    <xf numFmtId="3" fontId="0" fillId="0" borderId="52" xfId="0" applyNumberFormat="1" applyFill="1" applyBorder="1" applyAlignment="1" applyProtection="1">
      <alignment/>
      <protection hidden="1"/>
    </xf>
    <xf numFmtId="3" fontId="19" fillId="0" borderId="52" xfId="0" applyNumberFormat="1" applyFont="1" applyFill="1" applyBorder="1" applyAlignment="1" applyProtection="1">
      <alignment horizontal="center"/>
      <protection locked="0"/>
    </xf>
    <xf numFmtId="3" fontId="0" fillId="0" borderId="79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80" xfId="0" applyNumberForma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 horizontal="center"/>
      <protection hidden="1"/>
    </xf>
    <xf numFmtId="3" fontId="0" fillId="0" borderId="55" xfId="0" applyNumberFormat="1" applyFill="1" applyBorder="1" applyAlignment="1" applyProtection="1">
      <alignment/>
      <protection hidden="1"/>
    </xf>
    <xf numFmtId="3" fontId="19" fillId="0" borderId="55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71" xfId="0" applyNumberFormat="1" applyFill="1" applyBorder="1" applyAlignment="1" applyProtection="1">
      <alignment/>
      <protection locked="0"/>
    </xf>
    <xf numFmtId="3" fontId="19" fillId="0" borderId="50" xfId="0" applyNumberFormat="1" applyFont="1" applyFill="1" applyBorder="1" applyAlignment="1" applyProtection="1">
      <alignment horizontal="center"/>
      <protection hidden="1"/>
    </xf>
    <xf numFmtId="0" fontId="25" fillId="0" borderId="63" xfId="0" applyFont="1" applyFill="1" applyBorder="1" applyAlignment="1" applyProtection="1">
      <alignment/>
      <protection hidden="1"/>
    </xf>
    <xf numFmtId="0" fontId="19" fillId="0" borderId="61" xfId="0" applyFont="1" applyFill="1" applyBorder="1" applyAlignment="1" applyProtection="1">
      <alignment horizontal="center"/>
      <protection hidden="1"/>
    </xf>
    <xf numFmtId="3" fontId="19" fillId="0" borderId="61" xfId="0" applyNumberFormat="1" applyFont="1" applyFill="1" applyBorder="1" applyAlignment="1" applyProtection="1">
      <alignment/>
      <protection hidden="1"/>
    </xf>
    <xf numFmtId="3" fontId="19" fillId="0" borderId="62" xfId="0" applyNumberFormat="1" applyFont="1" applyFill="1" applyBorder="1" applyAlignment="1" applyProtection="1">
      <alignment horizontal="center"/>
      <protection hidden="1"/>
    </xf>
    <xf numFmtId="0" fontId="19" fillId="0" borderId="61" xfId="0" applyFont="1" applyFill="1" applyBorder="1" applyAlignment="1" applyProtection="1">
      <alignment/>
      <protection hidden="1"/>
    </xf>
    <xf numFmtId="0" fontId="19" fillId="0" borderId="62" xfId="0" applyFont="1" applyFill="1" applyBorder="1" applyAlignment="1" applyProtection="1">
      <alignment/>
      <protection hidden="1"/>
    </xf>
    <xf numFmtId="3" fontId="19" fillId="0" borderId="61" xfId="0" applyNumberFormat="1" applyFont="1" applyFill="1" applyBorder="1" applyAlignment="1" applyProtection="1">
      <alignment horizontal="center"/>
      <protection hidden="1"/>
    </xf>
    <xf numFmtId="3" fontId="19" fillId="0" borderId="62" xfId="0" applyNumberFormat="1" applyFont="1" applyFill="1" applyBorder="1" applyAlignment="1" applyProtection="1">
      <alignment/>
      <protection locked="0"/>
    </xf>
    <xf numFmtId="3" fontId="19" fillId="0" borderId="81" xfId="0" applyNumberFormat="1" applyFont="1" applyFill="1" applyBorder="1" applyAlignment="1" applyProtection="1">
      <alignment/>
      <protection locked="0"/>
    </xf>
    <xf numFmtId="3" fontId="19" fillId="0" borderId="82" xfId="0" applyNumberFormat="1" applyFont="1" applyFill="1" applyBorder="1" applyAlignment="1" applyProtection="1">
      <alignment/>
      <protection locked="0"/>
    </xf>
    <xf numFmtId="0" fontId="19" fillId="0" borderId="81" xfId="0" applyFont="1" applyFill="1" applyBorder="1" applyAlignment="1" applyProtection="1">
      <alignment/>
      <protection locked="0"/>
    </xf>
    <xf numFmtId="0" fontId="19" fillId="0" borderId="62" xfId="0" applyFont="1" applyFill="1" applyBorder="1" applyAlignment="1" applyProtection="1">
      <alignment/>
      <protection locked="0"/>
    </xf>
    <xf numFmtId="3" fontId="19" fillId="0" borderId="64" xfId="0" applyNumberFormat="1" applyFont="1" applyFill="1" applyBorder="1" applyAlignment="1" applyProtection="1">
      <alignment horizontal="center"/>
      <protection hidden="1"/>
    </xf>
    <xf numFmtId="0" fontId="0" fillId="0" borderId="53" xfId="0" applyFill="1" applyBorder="1" applyAlignment="1" applyProtection="1">
      <alignment horizontal="center"/>
      <protection hidden="1"/>
    </xf>
    <xf numFmtId="3" fontId="0" fillId="0" borderId="53" xfId="0" applyNumberFormat="1" applyFill="1" applyBorder="1" applyAlignment="1" applyProtection="1">
      <alignment/>
      <protection hidden="1"/>
    </xf>
    <xf numFmtId="3" fontId="0" fillId="0" borderId="73" xfId="0" applyNumberFormat="1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/>
      <protection locked="0"/>
    </xf>
    <xf numFmtId="3" fontId="19" fillId="0" borderId="53" xfId="0" applyNumberFormat="1" applyFont="1" applyFill="1" applyBorder="1" applyAlignment="1" applyProtection="1">
      <alignment horizontal="center"/>
      <protection locked="0"/>
    </xf>
    <xf numFmtId="3" fontId="19" fillId="0" borderId="55" xfId="0" applyNumberFormat="1" applyFont="1" applyFill="1" applyBorder="1" applyAlignment="1" applyProtection="1">
      <alignment horizontal="center"/>
      <protection hidden="1"/>
    </xf>
    <xf numFmtId="3" fontId="19" fillId="0" borderId="83" xfId="0" applyNumberFormat="1" applyFont="1" applyFill="1" applyBorder="1" applyAlignment="1" applyProtection="1">
      <alignment horizontal="center"/>
      <protection hidden="1"/>
    </xf>
    <xf numFmtId="0" fontId="25" fillId="0" borderId="51" xfId="0" applyFont="1" applyFill="1" applyBorder="1" applyAlignment="1" applyProtection="1">
      <alignment/>
      <protection hidden="1"/>
    </xf>
    <xf numFmtId="0" fontId="0" fillId="0" borderId="84" xfId="0" applyFill="1" applyBorder="1" applyAlignment="1" applyProtection="1">
      <alignment/>
      <protection hidden="1"/>
    </xf>
    <xf numFmtId="0" fontId="0" fillId="0" borderId="84" xfId="0" applyFill="1" applyBorder="1" applyAlignment="1" applyProtection="1">
      <alignment/>
      <protection locked="0"/>
    </xf>
    <xf numFmtId="3" fontId="27" fillId="0" borderId="51" xfId="0" applyNumberFormat="1" applyFont="1" applyFill="1" applyBorder="1" applyAlignment="1" applyProtection="1">
      <alignment/>
      <protection locked="0"/>
    </xf>
    <xf numFmtId="1" fontId="0" fillId="0" borderId="67" xfId="0" applyNumberFormat="1" applyFill="1" applyBorder="1" applyAlignment="1" applyProtection="1">
      <alignment/>
      <protection locked="0"/>
    </xf>
    <xf numFmtId="1" fontId="0" fillId="0" borderId="85" xfId="0" applyNumberFormat="1" applyFill="1" applyBorder="1" applyAlignment="1" applyProtection="1">
      <alignment/>
      <protection locked="0"/>
    </xf>
    <xf numFmtId="0" fontId="0" fillId="0" borderId="85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3" fontId="27" fillId="0" borderId="66" xfId="0" applyNumberFormat="1" applyFont="1" applyFill="1" applyBorder="1" applyAlignment="1" applyProtection="1">
      <alignment/>
      <protection hidden="1"/>
    </xf>
    <xf numFmtId="166" fontId="27" fillId="0" borderId="84" xfId="0" applyNumberFormat="1" applyFont="1" applyFill="1" applyBorder="1" applyAlignment="1" applyProtection="1">
      <alignment horizontal="right"/>
      <protection hidden="1"/>
    </xf>
    <xf numFmtId="3" fontId="27" fillId="0" borderId="52" xfId="0" applyNumberFormat="1" applyFont="1" applyFill="1" applyBorder="1" applyAlignment="1" applyProtection="1">
      <alignment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3" fontId="27" fillId="0" borderId="59" xfId="0" applyNumberFormat="1" applyFont="1" applyFill="1" applyBorder="1" applyAlignment="1" applyProtection="1">
      <alignment/>
      <protection hidden="1"/>
    </xf>
    <xf numFmtId="166" fontId="27" fillId="0" borderId="52" xfId="0" applyNumberFormat="1" applyFont="1" applyFill="1" applyBorder="1" applyAlignment="1" applyProtection="1">
      <alignment horizontal="right"/>
      <protection hidden="1"/>
    </xf>
    <xf numFmtId="3" fontId="27" fillId="0" borderId="53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3" fontId="27" fillId="0" borderId="58" xfId="0" applyNumberFormat="1" applyFont="1" applyFill="1" applyBorder="1" applyAlignment="1" applyProtection="1">
      <alignment/>
      <protection hidden="1"/>
    </xf>
    <xf numFmtId="166" fontId="27" fillId="0" borderId="53" xfId="0" applyNumberFormat="1" applyFont="1" applyFill="1" applyBorder="1" applyAlignment="1" applyProtection="1">
      <alignment horizontal="right"/>
      <protection hidden="1"/>
    </xf>
    <xf numFmtId="0" fontId="0" fillId="0" borderId="86" xfId="0" applyFill="1" applyBorder="1" applyAlignment="1" applyProtection="1">
      <alignment/>
      <protection hidden="1"/>
    </xf>
    <xf numFmtId="3" fontId="27" fillId="0" borderId="44" xfId="0" applyNumberFormat="1" applyFont="1" applyFill="1" applyBorder="1" applyAlignment="1" applyProtection="1">
      <alignment/>
      <protection locked="0"/>
    </xf>
    <xf numFmtId="1" fontId="0" fillId="0" borderId="70" xfId="0" applyNumberFormat="1" applyFill="1" applyBorder="1" applyAlignment="1" applyProtection="1">
      <alignment/>
      <protection locked="0"/>
    </xf>
    <xf numFmtId="0" fontId="0" fillId="0" borderId="87" xfId="0" applyFill="1" applyBorder="1" applyAlignment="1" applyProtection="1">
      <alignment/>
      <protection locked="0"/>
    </xf>
    <xf numFmtId="3" fontId="27" fillId="0" borderId="29" xfId="0" applyNumberFormat="1" applyFont="1" applyFill="1" applyBorder="1" applyAlignment="1" applyProtection="1">
      <alignment/>
      <protection hidden="1"/>
    </xf>
    <xf numFmtId="166" fontId="27" fillId="0" borderId="51" xfId="0" applyNumberFormat="1" applyFont="1" applyFill="1" applyBorder="1" applyAlignment="1" applyProtection="1">
      <alignment horizontal="right"/>
      <protection hidden="1"/>
    </xf>
    <xf numFmtId="0" fontId="0" fillId="0" borderId="78" xfId="0" applyFill="1" applyBorder="1" applyAlignment="1" applyProtection="1">
      <alignment/>
      <protection hidden="1"/>
    </xf>
    <xf numFmtId="0" fontId="0" fillId="0" borderId="44" xfId="0" applyFill="1" applyBorder="1" applyAlignment="1" applyProtection="1">
      <alignment/>
      <protection locked="0"/>
    </xf>
    <xf numFmtId="3" fontId="27" fillId="0" borderId="59" xfId="0" applyNumberFormat="1" applyFont="1" applyFill="1" applyBorder="1" applyAlignment="1" applyProtection="1">
      <alignment/>
      <protection locked="0"/>
    </xf>
    <xf numFmtId="1" fontId="0" fillId="0" borderId="59" xfId="0" applyNumberFormat="1" applyFill="1" applyBorder="1" applyAlignment="1" applyProtection="1">
      <alignment/>
      <protection locked="0"/>
    </xf>
    <xf numFmtId="0" fontId="0" fillId="0" borderId="78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 horizontal="center"/>
      <protection hidden="1"/>
    </xf>
    <xf numFmtId="3" fontId="27" fillId="0" borderId="60" xfId="0" applyNumberFormat="1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3" fontId="27" fillId="0" borderId="88" xfId="0" applyNumberFormat="1" applyFont="1" applyFill="1" applyBorder="1" applyAlignment="1" applyProtection="1">
      <alignment/>
      <protection hidden="1"/>
    </xf>
    <xf numFmtId="166" fontId="27" fillId="0" borderId="55" xfId="0" applyNumberFormat="1" applyFont="1" applyFill="1" applyBorder="1" applyAlignment="1" applyProtection="1">
      <alignment horizontal="right"/>
      <protection hidden="1"/>
    </xf>
    <xf numFmtId="0" fontId="29" fillId="0" borderId="63" xfId="0" applyFont="1" applyFill="1" applyBorder="1" applyAlignment="1" applyProtection="1">
      <alignment/>
      <protection hidden="1"/>
    </xf>
    <xf numFmtId="0" fontId="27" fillId="0" borderId="61" xfId="0" applyFont="1" applyFill="1" applyBorder="1" applyAlignment="1" applyProtection="1">
      <alignment horizontal="center"/>
      <protection hidden="1"/>
    </xf>
    <xf numFmtId="3" fontId="27" fillId="0" borderId="61" xfId="0" applyNumberFormat="1" applyFont="1" applyFill="1" applyBorder="1" applyAlignment="1" applyProtection="1">
      <alignment horizontal="center"/>
      <protection hidden="1"/>
    </xf>
    <xf numFmtId="3" fontId="27" fillId="0" borderId="64" xfId="0" applyNumberFormat="1" applyFont="1" applyFill="1" applyBorder="1" applyAlignment="1" applyProtection="1">
      <alignment/>
      <protection hidden="1"/>
    </xf>
    <xf numFmtId="3" fontId="27" fillId="0" borderId="81" xfId="0" applyNumberFormat="1" applyFont="1" applyFill="1" applyBorder="1" applyAlignment="1" applyProtection="1">
      <alignment/>
      <protection hidden="1"/>
    </xf>
    <xf numFmtId="3" fontId="27" fillId="0" borderId="63" xfId="0" applyNumberFormat="1" applyFont="1" applyFill="1" applyBorder="1" applyAlignment="1" applyProtection="1">
      <alignment/>
      <protection hidden="1"/>
    </xf>
    <xf numFmtId="166" fontId="27" fillId="0" borderId="61" xfId="0" applyNumberFormat="1" applyFont="1" applyFill="1" applyBorder="1" applyAlignment="1" applyProtection="1">
      <alignment horizontal="right"/>
      <protection hidden="1"/>
    </xf>
    <xf numFmtId="3" fontId="27" fillId="0" borderId="44" xfId="0" applyNumberFormat="1" applyFont="1" applyFill="1" applyBorder="1" applyAlignment="1" applyProtection="1">
      <alignment/>
      <protection hidden="1"/>
    </xf>
    <xf numFmtId="3" fontId="27" fillId="0" borderId="55" xfId="0" applyNumberFormat="1" applyFont="1" applyFill="1" applyBorder="1" applyAlignment="1" applyProtection="1">
      <alignment/>
      <protection locked="0"/>
    </xf>
    <xf numFmtId="3" fontId="27" fillId="0" borderId="82" xfId="0" applyNumberFormat="1" applyFont="1" applyFill="1" applyBorder="1" applyAlignment="1" applyProtection="1">
      <alignment/>
      <protection hidden="1"/>
    </xf>
    <xf numFmtId="3" fontId="0" fillId="0" borderId="50" xfId="0" applyNumberFormat="1" applyFill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0" fillId="0" borderId="19" xfId="0" applyNumberFormat="1" applyFill="1" applyBorder="1" applyAlignment="1" applyProtection="1">
      <alignment/>
      <protection hidden="1"/>
    </xf>
    <xf numFmtId="3" fontId="0" fillId="0" borderId="71" xfId="0" applyNumberFormat="1" applyFill="1" applyBorder="1" applyAlignment="1" applyProtection="1">
      <alignment/>
      <protection hidden="1"/>
    </xf>
    <xf numFmtId="3" fontId="0" fillId="0" borderId="89" xfId="0" applyNumberFormat="1" applyFill="1" applyBorder="1" applyAlignment="1" applyProtection="1">
      <alignment/>
      <protection hidden="1"/>
    </xf>
    <xf numFmtId="0" fontId="29" fillId="0" borderId="65" xfId="0" applyFont="1" applyFill="1" applyBorder="1" applyAlignment="1" applyProtection="1">
      <alignment/>
      <protection hidden="1"/>
    </xf>
    <xf numFmtId="3" fontId="27" fillId="0" borderId="89" xfId="0" applyNumberFormat="1" applyFont="1" applyFill="1" applyBorder="1" applyAlignment="1" applyProtection="1">
      <alignment/>
      <protection hidden="1"/>
    </xf>
    <xf numFmtId="0" fontId="29" fillId="0" borderId="58" xfId="0" applyFont="1" applyFill="1" applyBorder="1" applyAlignment="1" applyProtection="1">
      <alignment/>
      <protection hidden="1"/>
    </xf>
    <xf numFmtId="0" fontId="27" fillId="0" borderId="54" xfId="0" applyFont="1" applyFill="1" applyBorder="1" applyAlignment="1" applyProtection="1">
      <alignment horizontal="center"/>
      <protection hidden="1"/>
    </xf>
    <xf numFmtId="3" fontId="27" fillId="0" borderId="54" xfId="0" applyNumberFormat="1" applyFont="1" applyFill="1" applyBorder="1" applyAlignment="1" applyProtection="1">
      <alignment/>
      <protection hidden="1"/>
    </xf>
    <xf numFmtId="3" fontId="27" fillId="0" borderId="54" xfId="0" applyNumberFormat="1" applyFont="1" applyFill="1" applyBorder="1" applyAlignment="1" applyProtection="1">
      <alignment horizontal="center"/>
      <protection hidden="1"/>
    </xf>
    <xf numFmtId="0" fontId="19" fillId="0" borderId="49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165" fontId="28" fillId="0" borderId="72" xfId="0" applyNumberFormat="1" applyFont="1" applyFill="1" applyBorder="1" applyAlignment="1">
      <alignment horizontal="right"/>
    </xf>
    <xf numFmtId="166" fontId="0" fillId="0" borderId="11" xfId="0" applyNumberFormat="1" applyFill="1" applyBorder="1" applyAlignment="1">
      <alignment/>
    </xf>
    <xf numFmtId="166" fontId="0" fillId="0" borderId="50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5" fontId="28" fillId="0" borderId="76" xfId="0" applyNumberFormat="1" applyFont="1" applyFill="1" applyBorder="1" applyAlignment="1">
      <alignment horizontal="right"/>
    </xf>
    <xf numFmtId="3" fontId="28" fillId="0" borderId="78" xfId="0" applyNumberFormat="1" applyFont="1" applyFill="1" applyBorder="1" applyAlignment="1">
      <alignment horizontal="right"/>
    </xf>
    <xf numFmtId="3" fontId="28" fillId="0" borderId="72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26" fillId="0" borderId="68" xfId="0" applyNumberFormat="1" applyFont="1" applyFill="1" applyBorder="1" applyAlignment="1">
      <alignment/>
    </xf>
    <xf numFmtId="3" fontId="26" fillId="0" borderId="47" xfId="0" applyNumberFormat="1" applyFont="1" applyFill="1" applyBorder="1" applyAlignment="1">
      <alignment/>
    </xf>
    <xf numFmtId="3" fontId="26" fillId="0" borderId="49" xfId="0" applyNumberFormat="1" applyFont="1" applyFill="1" applyBorder="1" applyAlignment="1">
      <alignment/>
    </xf>
    <xf numFmtId="3" fontId="26" fillId="0" borderId="52" xfId="0" applyNumberFormat="1" applyFont="1" applyFill="1" applyBorder="1" applyAlignment="1">
      <alignment/>
    </xf>
    <xf numFmtId="3" fontId="26" fillId="0" borderId="59" xfId="0" applyNumberFormat="1" applyFont="1" applyFill="1" applyBorder="1" applyAlignment="1">
      <alignment/>
    </xf>
    <xf numFmtId="3" fontId="26" fillId="0" borderId="56" xfId="0" applyNumberFormat="1" applyFont="1" applyFill="1" applyBorder="1" applyAlignment="1">
      <alignment/>
    </xf>
    <xf numFmtId="3" fontId="26" fillId="0" borderId="57" xfId="0" applyNumberFormat="1" applyFont="1" applyFill="1" applyBorder="1" applyAlignment="1">
      <alignment/>
    </xf>
    <xf numFmtId="3" fontId="26" fillId="0" borderId="54" xfId="0" applyNumberFormat="1" applyFont="1" applyFill="1" applyBorder="1" applyAlignment="1">
      <alignment/>
    </xf>
    <xf numFmtId="3" fontId="26" fillId="0" borderId="83" xfId="0" applyNumberFormat="1" applyFont="1" applyFill="1" applyBorder="1" applyAlignment="1">
      <alignment/>
    </xf>
    <xf numFmtId="3" fontId="26" fillId="0" borderId="88" xfId="0" applyNumberFormat="1" applyFont="1" applyFill="1" applyBorder="1" applyAlignment="1">
      <alignment/>
    </xf>
    <xf numFmtId="3" fontId="26" fillId="0" borderId="55" xfId="0" applyNumberFormat="1" applyFont="1" applyFill="1" applyBorder="1" applyAlignment="1">
      <alignment/>
    </xf>
    <xf numFmtId="3" fontId="26" fillId="0" borderId="72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5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6" fillId="0" borderId="90" xfId="0" applyNumberFormat="1" applyFont="1" applyFill="1" applyBorder="1" applyAlignment="1">
      <alignment/>
    </xf>
    <xf numFmtId="3" fontId="26" fillId="0" borderId="79" xfId="0" applyNumberFormat="1" applyFont="1" applyFill="1" applyBorder="1" applyAlignment="1">
      <alignment/>
    </xf>
    <xf numFmtId="3" fontId="26" fillId="0" borderId="51" xfId="0" applyNumberFormat="1" applyFont="1" applyFill="1" applyBorder="1" applyAlignment="1">
      <alignment/>
    </xf>
    <xf numFmtId="3" fontId="27" fillId="0" borderId="72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5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63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65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9" fillId="0" borderId="67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0" fillId="0" borderId="50" xfId="0" applyFill="1" applyBorder="1" applyAlignment="1">
      <alignment/>
    </xf>
    <xf numFmtId="165" fontId="19" fillId="0" borderId="50" xfId="0" applyNumberFormat="1" applyFont="1" applyFill="1" applyBorder="1" applyAlignment="1">
      <alignment horizontal="right"/>
    </xf>
    <xf numFmtId="166" fontId="0" fillId="0" borderId="70" xfId="0" applyNumberFormat="1" applyFill="1" applyBorder="1" applyAlignment="1">
      <alignment/>
    </xf>
    <xf numFmtId="166" fontId="0" fillId="0" borderId="71" xfId="0" applyNumberFormat="1" applyFill="1" applyBorder="1" applyAlignment="1">
      <alignment/>
    </xf>
    <xf numFmtId="3" fontId="19" fillId="0" borderId="50" xfId="0" applyNumberFormat="1" applyFont="1" applyFill="1" applyBorder="1" applyAlignment="1">
      <alignment horizontal="center"/>
    </xf>
    <xf numFmtId="3" fontId="19" fillId="0" borderId="72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25" fillId="0" borderId="73" xfId="0" applyFont="1" applyFill="1" applyBorder="1" applyAlignment="1">
      <alignment/>
    </xf>
    <xf numFmtId="0" fontId="0" fillId="0" borderId="53" xfId="0" applyFill="1" applyBorder="1" applyAlignment="1">
      <alignment/>
    </xf>
    <xf numFmtId="166" fontId="0" fillId="0" borderId="74" xfId="0" applyNumberFormat="1" applyFill="1" applyBorder="1" applyAlignment="1">
      <alignment/>
    </xf>
    <xf numFmtId="166" fontId="0" fillId="0" borderId="53" xfId="0" applyNumberFormat="1" applyFill="1" applyBorder="1" applyAlignment="1">
      <alignment/>
    </xf>
    <xf numFmtId="165" fontId="19" fillId="0" borderId="53" xfId="0" applyNumberFormat="1" applyFont="1" applyFill="1" applyBorder="1" applyAlignment="1">
      <alignment horizontal="right"/>
    </xf>
    <xf numFmtId="166" fontId="0" fillId="0" borderId="69" xfId="0" applyNumberFormat="1" applyFill="1" applyBorder="1" applyAlignment="1">
      <alignment/>
    </xf>
    <xf numFmtId="166" fontId="0" fillId="0" borderId="75" xfId="0" applyNumberFormat="1" applyFill="1" applyBorder="1" applyAlignment="1">
      <alignment/>
    </xf>
    <xf numFmtId="166" fontId="19" fillId="0" borderId="53" xfId="0" applyNumberFormat="1" applyFont="1" applyFill="1" applyBorder="1" applyAlignment="1">
      <alignment/>
    </xf>
    <xf numFmtId="3" fontId="19" fillId="0" borderId="76" xfId="0" applyNumberFormat="1" applyFont="1" applyFill="1" applyBorder="1" applyAlignment="1">
      <alignment horizontal="center"/>
    </xf>
    <xf numFmtId="0" fontId="25" fillId="0" borderId="59" xfId="0" applyFont="1" applyFill="1" applyBorder="1" applyAlignment="1">
      <alignment/>
    </xf>
    <xf numFmtId="0" fontId="0" fillId="0" borderId="52" xfId="0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19" fillId="0" borderId="52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77" xfId="0" applyNumberFormat="1" applyFill="1" applyBorder="1" applyAlignment="1">
      <alignment/>
    </xf>
    <xf numFmtId="3" fontId="19" fillId="0" borderId="78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52" xfId="0" applyNumberFormat="1" applyFill="1" applyBorder="1" applyAlignment="1">
      <alignment horizontal="right"/>
    </xf>
    <xf numFmtId="3" fontId="0" fillId="0" borderId="79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0" fontId="25" fillId="0" borderId="63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3" fontId="19" fillId="0" borderId="64" xfId="0" applyNumberFormat="1" applyFont="1" applyFill="1" applyBorder="1" applyAlignment="1">
      <alignment horizontal="right"/>
    </xf>
    <xf numFmtId="3" fontId="19" fillId="0" borderId="62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 horizontal="center"/>
    </xf>
    <xf numFmtId="3" fontId="19" fillId="0" borderId="81" xfId="0" applyNumberFormat="1" applyFont="1" applyFill="1" applyBorder="1" applyAlignment="1">
      <alignment/>
    </xf>
    <xf numFmtId="3" fontId="19" fillId="0" borderId="82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 horizontal="center"/>
    </xf>
    <xf numFmtId="0" fontId="25" fillId="0" borderId="84" xfId="0" applyFont="1" applyFill="1" applyBorder="1" applyAlignment="1">
      <alignment/>
    </xf>
    <xf numFmtId="0" fontId="0" fillId="0" borderId="84" xfId="0" applyFill="1" applyBorder="1" applyAlignment="1">
      <alignment/>
    </xf>
    <xf numFmtId="3" fontId="27" fillId="0" borderId="49" xfId="0" applyNumberFormat="1" applyFon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0" fillId="0" borderId="85" xfId="0" applyNumberFormat="1" applyFill="1" applyBorder="1" applyAlignment="1">
      <alignment/>
    </xf>
    <xf numFmtId="166" fontId="27" fillId="0" borderId="68" xfId="0" applyNumberFormat="1" applyFont="1" applyFill="1" applyBorder="1" applyAlignment="1">
      <alignment/>
    </xf>
    <xf numFmtId="3" fontId="27" fillId="0" borderId="52" xfId="0" applyNumberFormat="1" applyFont="1" applyFill="1" applyBorder="1" applyAlignment="1">
      <alignment/>
    </xf>
    <xf numFmtId="166" fontId="27" fillId="0" borderId="78" xfId="0" applyNumberFormat="1" applyFont="1" applyFill="1" applyBorder="1" applyAlignment="1">
      <alignment/>
    </xf>
    <xf numFmtId="0" fontId="25" fillId="0" borderId="58" xfId="0" applyFont="1" applyFill="1" applyBorder="1" applyAlignment="1">
      <alignment/>
    </xf>
    <xf numFmtId="0" fontId="0" fillId="0" borderId="54" xfId="0" applyFill="1" applyBorder="1" applyAlignment="1">
      <alignment/>
    </xf>
    <xf numFmtId="3" fontId="27" fillId="0" borderId="54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166" fontId="27" fillId="0" borderId="56" xfId="0" applyNumberFormat="1" applyFont="1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0" fontId="28" fillId="0" borderId="52" xfId="0" applyFont="1" applyFill="1" applyBorder="1" applyAlignment="1">
      <alignment/>
    </xf>
    <xf numFmtId="0" fontId="28" fillId="0" borderId="52" xfId="0" applyFont="1" applyFill="1" applyBorder="1" applyAlignment="1">
      <alignment horizontal="right"/>
    </xf>
    <xf numFmtId="166" fontId="27" fillId="0" borderId="72" xfId="0" applyNumberFormat="1" applyFont="1" applyFill="1" applyBorder="1" applyAlignment="1">
      <alignment/>
    </xf>
    <xf numFmtId="0" fontId="29" fillId="0" borderId="63" xfId="0" applyFont="1" applyFill="1" applyBorder="1" applyAlignment="1">
      <alignment/>
    </xf>
    <xf numFmtId="0" fontId="27" fillId="0" borderId="61" xfId="0" applyFont="1" applyFill="1" applyBorder="1" applyAlignment="1">
      <alignment/>
    </xf>
    <xf numFmtId="3" fontId="27" fillId="0" borderId="64" xfId="0" applyNumberFormat="1" applyFont="1" applyFill="1" applyBorder="1" applyAlignment="1">
      <alignment/>
    </xf>
    <xf numFmtId="3" fontId="27" fillId="0" borderId="62" xfId="0" applyNumberFormat="1" applyFont="1" applyFill="1" applyBorder="1" applyAlignment="1">
      <alignment/>
    </xf>
    <xf numFmtId="3" fontId="27" fillId="0" borderId="61" xfId="0" applyNumberFormat="1" applyFont="1" applyFill="1" applyBorder="1" applyAlignment="1">
      <alignment/>
    </xf>
    <xf numFmtId="3" fontId="27" fillId="0" borderId="81" xfId="0" applyNumberFormat="1" applyFont="1" applyFill="1" applyBorder="1" applyAlignment="1">
      <alignment/>
    </xf>
    <xf numFmtId="3" fontId="27" fillId="0" borderId="82" xfId="0" applyNumberFormat="1" applyFont="1" applyFill="1" applyBorder="1" applyAlignment="1">
      <alignment/>
    </xf>
    <xf numFmtId="166" fontId="27" fillId="0" borderId="64" xfId="0" applyNumberFormat="1" applyFont="1" applyFill="1" applyBorder="1" applyAlignment="1">
      <alignment/>
    </xf>
    <xf numFmtId="3" fontId="27" fillId="0" borderId="5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7" fillId="0" borderId="61" xfId="0" applyFont="1" applyFill="1" applyBorder="1" applyAlignment="1">
      <alignment horizontal="right"/>
    </xf>
    <xf numFmtId="3" fontId="27" fillId="0" borderId="63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65" fontId="0" fillId="0" borderId="91" xfId="0" applyNumberFormat="1" applyFill="1" applyBorder="1" applyAlignment="1">
      <alignment horizontal="center"/>
    </xf>
    <xf numFmtId="165" fontId="0" fillId="0" borderId="92" xfId="0" applyNumberFormat="1" applyFill="1" applyBorder="1" applyAlignment="1">
      <alignment/>
    </xf>
    <xf numFmtId="165" fontId="0" fillId="0" borderId="93" xfId="0" applyNumberFormat="1" applyFill="1" applyBorder="1" applyAlignment="1" applyProtection="1">
      <alignment/>
      <protection locked="0"/>
    </xf>
    <xf numFmtId="165" fontId="0" fillId="0" borderId="94" xfId="0" applyNumberForma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>
      <alignment horizontal="center"/>
    </xf>
    <xf numFmtId="0" fontId="0" fillId="0" borderId="95" xfId="0" applyFill="1" applyBorder="1" applyAlignment="1">
      <alignment/>
    </xf>
    <xf numFmtId="0" fontId="0" fillId="0" borderId="93" xfId="0" applyFill="1" applyBorder="1" applyAlignment="1" applyProtection="1">
      <alignment/>
      <protection locked="0"/>
    </xf>
    <xf numFmtId="0" fontId="0" fillId="0" borderId="94" xfId="0" applyFill="1" applyBorder="1" applyAlignment="1" applyProtection="1">
      <alignment/>
      <protection locked="0"/>
    </xf>
    <xf numFmtId="3" fontId="26" fillId="0" borderId="96" xfId="0" applyNumberFormat="1" applyFont="1" applyFill="1" applyBorder="1" applyAlignment="1">
      <alignment horizontal="center"/>
    </xf>
    <xf numFmtId="3" fontId="26" fillId="0" borderId="97" xfId="0" applyNumberFormat="1" applyFont="1" applyFill="1" applyBorder="1" applyAlignment="1" applyProtection="1">
      <alignment/>
      <protection locked="0"/>
    </xf>
    <xf numFmtId="3" fontId="26" fillId="0" borderId="98" xfId="0" applyNumberFormat="1" applyFont="1" applyFill="1" applyBorder="1" applyAlignment="1">
      <alignment horizontal="center"/>
    </xf>
    <xf numFmtId="3" fontId="26" fillId="0" borderId="98" xfId="0" applyNumberFormat="1" applyFont="1" applyFill="1" applyBorder="1" applyAlignment="1" applyProtection="1">
      <alignment/>
      <protection locked="0"/>
    </xf>
    <xf numFmtId="3" fontId="26" fillId="0" borderId="99" xfId="0" applyNumberFormat="1" applyFont="1" applyFill="1" applyBorder="1" applyAlignment="1">
      <alignment horizontal="center"/>
    </xf>
    <xf numFmtId="3" fontId="26" fillId="0" borderId="99" xfId="0" applyNumberFormat="1" applyFont="1" applyFill="1" applyBorder="1" applyAlignment="1" applyProtection="1">
      <alignment/>
      <protection locked="0"/>
    </xf>
    <xf numFmtId="3" fontId="26" fillId="0" borderId="96" xfId="0" applyNumberFormat="1" applyFont="1" applyFill="1" applyBorder="1" applyAlignment="1" applyProtection="1">
      <alignment/>
      <protection locked="0"/>
    </xf>
    <xf numFmtId="3" fontId="26" fillId="0" borderId="100" xfId="0" applyNumberFormat="1" applyFont="1" applyFill="1" applyBorder="1" applyAlignment="1">
      <alignment horizontal="center"/>
    </xf>
    <xf numFmtId="3" fontId="26" fillId="0" borderId="100" xfId="0" applyNumberFormat="1" applyFont="1" applyFill="1" applyBorder="1" applyAlignment="1" applyProtection="1">
      <alignment/>
      <protection locked="0"/>
    </xf>
    <xf numFmtId="0" fontId="0" fillId="0" borderId="101" xfId="0" applyFill="1" applyBorder="1" applyAlignment="1" applyProtection="1">
      <alignment/>
      <protection locked="0"/>
    </xf>
    <xf numFmtId="1" fontId="0" fillId="0" borderId="102" xfId="0" applyNumberFormat="1" applyFill="1" applyBorder="1" applyAlignment="1" applyProtection="1">
      <alignment/>
      <protection locked="0"/>
    </xf>
    <xf numFmtId="0" fontId="0" fillId="0" borderId="103" xfId="0" applyFill="1" applyBorder="1" applyAlignment="1" applyProtection="1">
      <alignment/>
      <protection locked="0"/>
    </xf>
    <xf numFmtId="3" fontId="26" fillId="0" borderId="104" xfId="0" applyNumberFormat="1" applyFont="1" applyFill="1" applyBorder="1" applyAlignment="1" applyProtection="1">
      <alignment/>
      <protection locked="0"/>
    </xf>
    <xf numFmtId="3" fontId="26" fillId="0" borderId="105" xfId="0" applyNumberFormat="1" applyFont="1" applyFill="1" applyBorder="1" applyAlignment="1" applyProtection="1">
      <alignment/>
      <protection locked="0"/>
    </xf>
    <xf numFmtId="3" fontId="26" fillId="0" borderId="106" xfId="0" applyNumberFormat="1" applyFont="1" applyFill="1" applyBorder="1" applyAlignment="1" applyProtection="1">
      <alignment/>
      <protection locked="0"/>
    </xf>
    <xf numFmtId="1" fontId="0" fillId="0" borderId="107" xfId="0" applyNumberFormat="1" applyFill="1" applyBorder="1" applyAlignment="1" applyProtection="1">
      <alignment/>
      <protection locked="0"/>
    </xf>
    <xf numFmtId="3" fontId="27" fillId="0" borderId="95" xfId="0" applyNumberFormat="1" applyFont="1" applyFill="1" applyBorder="1" applyAlignment="1">
      <alignment horizontal="center"/>
    </xf>
    <xf numFmtId="3" fontId="27" fillId="0" borderId="107" xfId="0" applyNumberFormat="1" applyFont="1" applyFill="1" applyBorder="1" applyAlignment="1" applyProtection="1">
      <alignment/>
      <protection locked="0"/>
    </xf>
    <xf numFmtId="3" fontId="27" fillId="0" borderId="95" xfId="0" applyNumberFormat="1" applyFont="1" applyFill="1" applyBorder="1" applyAlignment="1" applyProtection="1">
      <alignment/>
      <protection locked="0"/>
    </xf>
    <xf numFmtId="3" fontId="27" fillId="0" borderId="108" xfId="0" applyNumberFormat="1" applyFont="1" applyFill="1" applyBorder="1" applyAlignment="1" applyProtection="1">
      <alignment/>
      <protection locked="0"/>
    </xf>
    <xf numFmtId="3" fontId="27" fillId="0" borderId="108" xfId="0" applyNumberFormat="1" applyFont="1" applyFill="1" applyBorder="1" applyAlignment="1">
      <alignment/>
    </xf>
    <xf numFmtId="166" fontId="27" fillId="0" borderId="10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10" xfId="0" applyFont="1" applyFill="1" applyBorder="1" applyAlignment="1">
      <alignment/>
    </xf>
    <xf numFmtId="0" fontId="22" fillId="0" borderId="111" xfId="0" applyFont="1" applyFill="1" applyBorder="1" applyAlignment="1">
      <alignment/>
    </xf>
    <xf numFmtId="0" fontId="23" fillId="0" borderId="111" xfId="0" applyFont="1" applyFill="1" applyBorder="1" applyAlignment="1">
      <alignment horizontal="center"/>
    </xf>
    <xf numFmtId="0" fontId="22" fillId="0" borderId="109" xfId="0" applyFont="1" applyFill="1" applyBorder="1" applyAlignment="1">
      <alignment/>
    </xf>
    <xf numFmtId="0" fontId="0" fillId="0" borderId="112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92" xfId="0" applyFill="1" applyBorder="1" applyAlignment="1">
      <alignment horizontal="center"/>
    </xf>
    <xf numFmtId="0" fontId="0" fillId="0" borderId="113" xfId="0" applyFill="1" applyBorder="1" applyAlignment="1">
      <alignment/>
    </xf>
    <xf numFmtId="0" fontId="19" fillId="0" borderId="92" xfId="0" applyFont="1" applyFill="1" applyBorder="1" applyAlignment="1">
      <alignment horizontal="center"/>
    </xf>
    <xf numFmtId="0" fontId="0" fillId="0" borderId="114" xfId="0" applyFill="1" applyBorder="1" applyAlignment="1">
      <alignment/>
    </xf>
    <xf numFmtId="0" fontId="0" fillId="0" borderId="115" xfId="0" applyFill="1" applyBorder="1" applyAlignment="1">
      <alignment/>
    </xf>
    <xf numFmtId="0" fontId="9" fillId="0" borderId="115" xfId="0" applyFont="1" applyFill="1" applyBorder="1" applyAlignment="1">
      <alignment horizontal="center"/>
    </xf>
    <xf numFmtId="0" fontId="19" fillId="0" borderId="113" xfId="0" applyFont="1" applyFill="1" applyBorder="1" applyAlignment="1">
      <alignment horizontal="center"/>
    </xf>
    <xf numFmtId="0" fontId="25" fillId="0" borderId="102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19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19" fillId="0" borderId="101" xfId="0" applyFont="1" applyFill="1" applyBorder="1" applyAlignment="1">
      <alignment horizontal="center"/>
    </xf>
    <xf numFmtId="0" fontId="25" fillId="0" borderId="107" xfId="0" applyFont="1" applyFill="1" applyBorder="1" applyAlignment="1">
      <alignment/>
    </xf>
    <xf numFmtId="0" fontId="0" fillId="0" borderId="96" xfId="0" applyFill="1" applyBorder="1" applyAlignment="1">
      <alignment/>
    </xf>
    <xf numFmtId="165" fontId="0" fillId="0" borderId="96" xfId="0" applyNumberFormat="1" applyFill="1" applyBorder="1" applyAlignment="1">
      <alignment/>
    </xf>
    <xf numFmtId="165" fontId="19" fillId="0" borderId="96" xfId="0" applyNumberFormat="1" applyFont="1" applyFill="1" applyBorder="1" applyAlignment="1">
      <alignment horizontal="right"/>
    </xf>
    <xf numFmtId="165" fontId="0" fillId="0" borderId="119" xfId="0" applyNumberFormat="1" applyFill="1" applyBorder="1" applyAlignment="1" applyProtection="1">
      <alignment/>
      <protection locked="0"/>
    </xf>
    <xf numFmtId="165" fontId="19" fillId="0" borderId="95" xfId="0" applyNumberFormat="1" applyFont="1" applyFill="1" applyBorder="1" applyAlignment="1">
      <alignment horizontal="center"/>
    </xf>
    <xf numFmtId="3" fontId="19" fillId="0" borderId="120" xfId="0" applyNumberFormat="1" applyFont="1" applyFill="1" applyBorder="1" applyAlignment="1">
      <alignment horizontal="center"/>
    </xf>
    <xf numFmtId="0" fontId="25" fillId="0" borderId="121" xfId="0" applyFont="1" applyFill="1" applyBorder="1" applyAlignment="1">
      <alignment/>
    </xf>
    <xf numFmtId="0" fontId="0" fillId="0" borderId="99" xfId="0" applyFill="1" applyBorder="1" applyAlignment="1">
      <alignment/>
    </xf>
    <xf numFmtId="165" fontId="0" fillId="0" borderId="99" xfId="0" applyNumberFormat="1" applyFill="1" applyBorder="1" applyAlignment="1">
      <alignment/>
    </xf>
    <xf numFmtId="165" fontId="0" fillId="0" borderId="122" xfId="0" applyNumberFormat="1" applyFill="1" applyBorder="1" applyAlignment="1">
      <alignment horizontal="center"/>
    </xf>
    <xf numFmtId="165" fontId="0" fillId="0" borderId="122" xfId="0" applyNumberFormat="1" applyFill="1" applyBorder="1" applyAlignment="1" applyProtection="1">
      <alignment/>
      <protection locked="0"/>
    </xf>
    <xf numFmtId="165" fontId="19" fillId="0" borderId="99" xfId="0" applyNumberFormat="1" applyFont="1" applyFill="1" applyBorder="1" applyAlignment="1">
      <alignment horizontal="right"/>
    </xf>
    <xf numFmtId="165" fontId="0" fillId="0" borderId="118" xfId="0" applyNumberFormat="1" applyFill="1" applyBorder="1" applyAlignment="1" applyProtection="1">
      <alignment/>
      <protection locked="0"/>
    </xf>
    <xf numFmtId="165" fontId="0" fillId="0" borderId="123" xfId="0" applyNumberFormat="1" applyFill="1" applyBorder="1" applyAlignment="1" applyProtection="1">
      <alignment/>
      <protection locked="0"/>
    </xf>
    <xf numFmtId="165" fontId="19" fillId="0" borderId="99" xfId="0" applyNumberFormat="1" applyFont="1" applyFill="1" applyBorder="1" applyAlignment="1">
      <alignment/>
    </xf>
    <xf numFmtId="3" fontId="19" fillId="0" borderId="124" xfId="0" applyNumberFormat="1" applyFont="1" applyFill="1" applyBorder="1" applyAlignment="1">
      <alignment horizontal="center"/>
    </xf>
    <xf numFmtId="0" fontId="25" fillId="0" borderId="104" xfId="0" applyFont="1" applyFill="1" applyBorder="1" applyAlignment="1">
      <alignment/>
    </xf>
    <xf numFmtId="0" fontId="0" fillId="0" borderId="96" xfId="0" applyFont="1" applyFill="1" applyBorder="1" applyAlignment="1">
      <alignment horizontal="center"/>
    </xf>
    <xf numFmtId="3" fontId="0" fillId="0" borderId="96" xfId="0" applyNumberFormat="1" applyFill="1" applyBorder="1" applyAlignment="1">
      <alignment/>
    </xf>
    <xf numFmtId="3" fontId="0" fillId="0" borderId="125" xfId="0" applyNumberFormat="1" applyFont="1" applyFill="1" applyBorder="1" applyAlignment="1">
      <alignment horizontal="center"/>
    </xf>
    <xf numFmtId="0" fontId="0" fillId="0" borderId="98" xfId="0" applyFill="1" applyBorder="1" applyAlignment="1">
      <alignment/>
    </xf>
    <xf numFmtId="0" fontId="0" fillId="0" borderId="125" xfId="0" applyFill="1" applyBorder="1" applyAlignment="1" applyProtection="1">
      <alignment/>
      <protection locked="0"/>
    </xf>
    <xf numFmtId="3" fontId="19" fillId="0" borderId="96" xfId="0" applyNumberFormat="1" applyFont="1" applyFill="1" applyBorder="1" applyAlignment="1">
      <alignment horizontal="center"/>
    </xf>
    <xf numFmtId="3" fontId="0" fillId="0" borderId="125" xfId="0" applyNumberFormat="1" applyFill="1" applyBorder="1" applyAlignment="1" applyProtection="1">
      <alignment/>
      <protection locked="0"/>
    </xf>
    <xf numFmtId="3" fontId="0" fillId="0" borderId="126" xfId="0" applyNumberFormat="1" applyFill="1" applyBorder="1" applyAlignment="1" applyProtection="1">
      <alignment/>
      <protection locked="0"/>
    </xf>
    <xf numFmtId="3" fontId="0" fillId="0" borderId="127" xfId="0" applyNumberFormat="1" applyFill="1" applyBorder="1" applyAlignment="1" applyProtection="1">
      <alignment/>
      <protection locked="0"/>
    </xf>
    <xf numFmtId="0" fontId="0" fillId="0" borderId="126" xfId="0" applyFill="1" applyBorder="1" applyAlignment="1" applyProtection="1">
      <alignment/>
      <protection locked="0"/>
    </xf>
    <xf numFmtId="3" fontId="19" fillId="0" borderId="98" xfId="0" applyNumberFormat="1" applyFont="1" applyFill="1" applyBorder="1" applyAlignment="1">
      <alignment horizontal="center"/>
    </xf>
    <xf numFmtId="3" fontId="19" fillId="0" borderId="128" xfId="0" applyNumberFormat="1" applyFont="1" applyFill="1" applyBorder="1" applyAlignment="1">
      <alignment horizontal="center"/>
    </xf>
    <xf numFmtId="0" fontId="25" fillId="0" borderId="105" xfId="0" applyFont="1" applyFill="1" applyBorder="1" applyAlignment="1">
      <alignment/>
    </xf>
    <xf numFmtId="0" fontId="0" fillId="0" borderId="98" xfId="0" applyFont="1" applyFill="1" applyBorder="1" applyAlignment="1">
      <alignment horizontal="center"/>
    </xf>
    <xf numFmtId="3" fontId="0" fillId="0" borderId="98" xfId="0" applyNumberFormat="1" applyFill="1" applyBorder="1" applyAlignment="1">
      <alignment/>
    </xf>
    <xf numFmtId="3" fontId="0" fillId="0" borderId="129" xfId="0" applyNumberFormat="1" applyFill="1" applyBorder="1" applyAlignment="1" applyProtection="1">
      <alignment/>
      <protection locked="0"/>
    </xf>
    <xf numFmtId="3" fontId="0" fillId="0" borderId="130" xfId="0" applyNumberFormat="1" applyFill="1" applyBorder="1" applyAlignment="1" applyProtection="1">
      <alignment/>
      <protection locked="0"/>
    </xf>
    <xf numFmtId="3" fontId="0" fillId="0" borderId="131" xfId="0" applyNumberFormat="1" applyFill="1" applyBorder="1" applyAlignment="1" applyProtection="1">
      <alignment/>
      <protection locked="0"/>
    </xf>
    <xf numFmtId="0" fontId="0" fillId="0" borderId="100" xfId="0" applyFont="1" applyFill="1" applyBorder="1" applyAlignment="1">
      <alignment horizontal="center"/>
    </xf>
    <xf numFmtId="3" fontId="0" fillId="0" borderId="100" xfId="0" applyNumberFormat="1" applyFill="1" applyBorder="1" applyAlignment="1">
      <alignment/>
    </xf>
    <xf numFmtId="3" fontId="19" fillId="0" borderId="100" xfId="0" applyNumberFormat="1" applyFont="1" applyFill="1" applyBorder="1" applyAlignment="1">
      <alignment horizontal="center"/>
    </xf>
    <xf numFmtId="3" fontId="0" fillId="0" borderId="94" xfId="0" applyNumberFormat="1" applyFill="1" applyBorder="1" applyAlignment="1" applyProtection="1">
      <alignment/>
      <protection locked="0"/>
    </xf>
    <xf numFmtId="3" fontId="0" fillId="0" borderId="93" xfId="0" applyNumberFormat="1" applyFill="1" applyBorder="1" applyAlignment="1" applyProtection="1">
      <alignment/>
      <protection locked="0"/>
    </xf>
    <xf numFmtId="3" fontId="19" fillId="0" borderId="95" xfId="0" applyNumberFormat="1" applyFont="1" applyFill="1" applyBorder="1" applyAlignment="1">
      <alignment horizontal="center"/>
    </xf>
    <xf numFmtId="0" fontId="25" fillId="0" borderId="110" xfId="0" applyFont="1" applyFill="1" applyBorder="1" applyAlignment="1">
      <alignment/>
    </xf>
    <xf numFmtId="0" fontId="19" fillId="0" borderId="108" xfId="0" applyFont="1" applyFill="1" applyBorder="1" applyAlignment="1">
      <alignment horizontal="center"/>
    </xf>
    <xf numFmtId="3" fontId="19" fillId="0" borderId="108" xfId="0" applyNumberFormat="1" applyFont="1" applyFill="1" applyBorder="1" applyAlignment="1">
      <alignment/>
    </xf>
    <xf numFmtId="3" fontId="19" fillId="0" borderId="111" xfId="0" applyNumberFormat="1" applyFont="1" applyFill="1" applyBorder="1" applyAlignment="1">
      <alignment horizontal="center"/>
    </xf>
    <xf numFmtId="0" fontId="19" fillId="0" borderId="108" xfId="0" applyFont="1" applyFill="1" applyBorder="1" applyAlignment="1">
      <alignment/>
    </xf>
    <xf numFmtId="0" fontId="19" fillId="0" borderId="111" xfId="0" applyFont="1" applyFill="1" applyBorder="1" applyAlignment="1" applyProtection="1">
      <alignment/>
      <protection locked="0"/>
    </xf>
    <xf numFmtId="3" fontId="19" fillId="0" borderId="108" xfId="0" applyNumberFormat="1" applyFont="1" applyFill="1" applyBorder="1" applyAlignment="1">
      <alignment horizontal="center"/>
    </xf>
    <xf numFmtId="3" fontId="19" fillId="0" borderId="111" xfId="0" applyNumberFormat="1" applyFont="1" applyFill="1" applyBorder="1" applyAlignment="1" applyProtection="1">
      <alignment/>
      <protection locked="0"/>
    </xf>
    <xf numFmtId="3" fontId="19" fillId="0" borderId="132" xfId="0" applyNumberFormat="1" applyFont="1" applyFill="1" applyBorder="1" applyAlignment="1" applyProtection="1">
      <alignment/>
      <protection locked="0"/>
    </xf>
    <xf numFmtId="3" fontId="19" fillId="0" borderId="133" xfId="0" applyNumberFormat="1" applyFont="1" applyFill="1" applyBorder="1" applyAlignment="1" applyProtection="1">
      <alignment/>
      <protection locked="0"/>
    </xf>
    <xf numFmtId="3" fontId="19" fillId="0" borderId="132" xfId="0" applyNumberFormat="1" applyFont="1" applyFill="1" applyBorder="1" applyAlignment="1" applyProtection="1">
      <alignment/>
      <protection locked="0"/>
    </xf>
    <xf numFmtId="0" fontId="19" fillId="0" borderId="132" xfId="0" applyFont="1" applyFill="1" applyBorder="1" applyAlignment="1" applyProtection="1">
      <alignment/>
      <protection locked="0"/>
    </xf>
    <xf numFmtId="3" fontId="19" fillId="0" borderId="109" xfId="0" applyNumberFormat="1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3" fontId="0" fillId="0" borderId="99" xfId="0" applyNumberFormat="1" applyFill="1" applyBorder="1" applyAlignment="1">
      <alignment/>
    </xf>
    <xf numFmtId="3" fontId="0" fillId="0" borderId="121" xfId="0" applyNumberFormat="1" applyFont="1" applyFill="1" applyBorder="1" applyAlignment="1">
      <alignment horizontal="center"/>
    </xf>
    <xf numFmtId="3" fontId="19" fillId="0" borderId="99" xfId="0" applyNumberFormat="1" applyFont="1" applyFill="1" applyBorder="1" applyAlignment="1">
      <alignment horizontal="center"/>
    </xf>
    <xf numFmtId="3" fontId="19" fillId="0" borderId="134" xfId="0" applyNumberFormat="1" applyFont="1" applyFill="1" applyBorder="1" applyAlignment="1">
      <alignment horizontal="center"/>
    </xf>
    <xf numFmtId="0" fontId="25" fillId="0" borderId="96" xfId="0" applyFont="1" applyFill="1" applyBorder="1" applyAlignment="1">
      <alignment/>
    </xf>
    <xf numFmtId="0" fontId="0" fillId="0" borderId="115" xfId="0" applyFill="1" applyBorder="1" applyAlignment="1" applyProtection="1">
      <alignment/>
      <protection locked="0"/>
    </xf>
    <xf numFmtId="3" fontId="27" fillId="0" borderId="96" xfId="0" applyNumberFormat="1" applyFont="1" applyFill="1" applyBorder="1" applyAlignment="1" applyProtection="1">
      <alignment/>
      <protection locked="0"/>
    </xf>
    <xf numFmtId="1" fontId="0" fillId="0" borderId="115" xfId="0" applyNumberFormat="1" applyFill="1" applyBorder="1" applyAlignment="1" applyProtection="1">
      <alignment/>
      <protection locked="0"/>
    </xf>
    <xf numFmtId="1" fontId="0" fillId="0" borderId="135" xfId="0" applyNumberFormat="1" applyFill="1" applyBorder="1" applyAlignment="1" applyProtection="1">
      <alignment/>
      <protection locked="0"/>
    </xf>
    <xf numFmtId="0" fontId="0" fillId="0" borderId="135" xfId="0" applyFill="1" applyBorder="1" applyAlignment="1" applyProtection="1">
      <alignment/>
      <protection locked="0"/>
    </xf>
    <xf numFmtId="3" fontId="27" fillId="0" borderId="114" xfId="0" applyNumberFormat="1" applyFont="1" applyFill="1" applyBorder="1" applyAlignment="1">
      <alignment/>
    </xf>
    <xf numFmtId="166" fontId="27" fillId="0" borderId="97" xfId="0" applyNumberFormat="1" applyFont="1" applyFill="1" applyBorder="1" applyAlignment="1">
      <alignment horizontal="center"/>
    </xf>
    <xf numFmtId="3" fontId="27" fillId="0" borderId="98" xfId="0" applyNumberFormat="1" applyFont="1" applyFill="1" applyBorder="1" applyAlignment="1" applyProtection="1">
      <alignment/>
      <protection locked="0"/>
    </xf>
    <xf numFmtId="1" fontId="0" fillId="0" borderId="125" xfId="0" applyNumberFormat="1" applyFill="1" applyBorder="1" applyAlignment="1" applyProtection="1">
      <alignment/>
      <protection locked="0"/>
    </xf>
    <xf numFmtId="1" fontId="0" fillId="0" borderId="126" xfId="0" applyNumberFormat="1" applyFill="1" applyBorder="1" applyAlignment="1" applyProtection="1">
      <alignment/>
      <protection locked="0"/>
    </xf>
    <xf numFmtId="3" fontId="27" fillId="0" borderId="105" xfId="0" applyNumberFormat="1" applyFont="1" applyFill="1" applyBorder="1" applyAlignment="1">
      <alignment/>
    </xf>
    <xf numFmtId="166" fontId="27" fillId="0" borderId="98" xfId="0" applyNumberFormat="1" applyFont="1" applyFill="1" applyBorder="1" applyAlignment="1">
      <alignment horizontal="center"/>
    </xf>
    <xf numFmtId="3" fontId="27" fillId="0" borderId="99" xfId="0" applyNumberFormat="1" applyFont="1" applyFill="1" applyBorder="1" applyAlignment="1" applyProtection="1">
      <alignment/>
      <protection locked="0"/>
    </xf>
    <xf numFmtId="1" fontId="0" fillId="0" borderId="94" xfId="0" applyNumberFormat="1" applyFill="1" applyBorder="1" applyAlignment="1" applyProtection="1">
      <alignment/>
      <protection locked="0"/>
    </xf>
    <xf numFmtId="3" fontId="27" fillId="0" borderId="102" xfId="0" applyNumberFormat="1" applyFont="1" applyFill="1" applyBorder="1" applyAlignment="1">
      <alignment/>
    </xf>
    <xf numFmtId="166" fontId="27" fillId="0" borderId="99" xfId="0" applyNumberFormat="1" applyFont="1" applyFill="1" applyBorder="1" applyAlignment="1">
      <alignment horizontal="center"/>
    </xf>
    <xf numFmtId="0" fontId="0" fillId="0" borderId="136" xfId="0" applyFill="1" applyBorder="1" applyAlignment="1" applyProtection="1">
      <alignment/>
      <protection locked="0"/>
    </xf>
    <xf numFmtId="3" fontId="27" fillId="0" borderId="104" xfId="0" applyNumberFormat="1" applyFont="1" applyFill="1" applyBorder="1" applyAlignment="1" applyProtection="1">
      <alignment/>
      <protection locked="0"/>
    </xf>
    <xf numFmtId="1" fontId="0" fillId="0" borderId="119" xfId="0" applyNumberFormat="1" applyFill="1" applyBorder="1" applyAlignment="1" applyProtection="1">
      <alignment/>
      <protection locked="0"/>
    </xf>
    <xf numFmtId="0" fontId="0" fillId="0" borderId="137" xfId="0" applyFill="1" applyBorder="1" applyAlignment="1" applyProtection="1">
      <alignment/>
      <protection locked="0"/>
    </xf>
    <xf numFmtId="3" fontId="27" fillId="0" borderId="125" xfId="0" applyNumberFormat="1" applyFont="1" applyFill="1" applyBorder="1" applyAlignment="1">
      <alignment/>
    </xf>
    <xf numFmtId="166" fontId="27" fillId="0" borderId="96" xfId="0" applyNumberFormat="1" applyFont="1" applyFill="1" applyBorder="1" applyAlignment="1">
      <alignment horizontal="center"/>
    </xf>
    <xf numFmtId="0" fontId="0" fillId="0" borderId="128" xfId="0" applyFill="1" applyBorder="1" applyAlignment="1" applyProtection="1">
      <alignment/>
      <protection locked="0"/>
    </xf>
    <xf numFmtId="3" fontId="27" fillId="0" borderId="105" xfId="0" applyNumberFormat="1" applyFont="1" applyFill="1" applyBorder="1" applyAlignment="1" applyProtection="1">
      <alignment/>
      <protection locked="0"/>
    </xf>
    <xf numFmtId="1" fontId="0" fillId="0" borderId="105" xfId="0" applyNumberFormat="1" applyFill="1" applyBorder="1" applyAlignment="1" applyProtection="1">
      <alignment/>
      <protection locked="0"/>
    </xf>
    <xf numFmtId="0" fontId="28" fillId="0" borderId="98" xfId="0" applyFont="1" applyFill="1" applyBorder="1" applyAlignment="1">
      <alignment horizontal="center"/>
    </xf>
    <xf numFmtId="0" fontId="0" fillId="0" borderId="105" xfId="0" applyFill="1" applyBorder="1" applyAlignment="1" applyProtection="1">
      <alignment/>
      <protection locked="0"/>
    </xf>
    <xf numFmtId="3" fontId="27" fillId="0" borderId="106" xfId="0" applyNumberFormat="1" applyFont="1" applyFill="1" applyBorder="1" applyAlignment="1" applyProtection="1">
      <alignment/>
      <protection locked="0"/>
    </xf>
    <xf numFmtId="0" fontId="0" fillId="0" borderId="138" xfId="0" applyFill="1" applyBorder="1" applyAlignment="1" applyProtection="1">
      <alignment/>
      <protection locked="0"/>
    </xf>
    <xf numFmtId="49" fontId="0" fillId="0" borderId="138" xfId="0" applyNumberFormat="1" applyFill="1" applyBorder="1" applyAlignment="1" applyProtection="1">
      <alignment horizontal="right"/>
      <protection locked="0"/>
    </xf>
    <xf numFmtId="3" fontId="27" fillId="0" borderId="139" xfId="0" applyNumberFormat="1" applyFont="1" applyFill="1" applyBorder="1" applyAlignment="1">
      <alignment/>
    </xf>
    <xf numFmtId="166" fontId="27" fillId="0" borderId="100" xfId="0" applyNumberFormat="1" applyFont="1" applyFill="1" applyBorder="1" applyAlignment="1">
      <alignment horizontal="center"/>
    </xf>
    <xf numFmtId="0" fontId="29" fillId="0" borderId="110" xfId="0" applyFont="1" applyFill="1" applyBorder="1" applyAlignment="1">
      <alignment/>
    </xf>
    <xf numFmtId="0" fontId="27" fillId="0" borderId="108" xfId="0" applyFont="1" applyFill="1" applyBorder="1" applyAlignment="1">
      <alignment horizontal="center"/>
    </xf>
    <xf numFmtId="3" fontId="27" fillId="0" borderId="108" xfId="0" applyNumberFormat="1" applyFont="1" applyFill="1" applyBorder="1" applyAlignment="1">
      <alignment horizontal="center"/>
    </xf>
    <xf numFmtId="3" fontId="27" fillId="0" borderId="109" xfId="0" applyNumberFormat="1" applyFont="1" applyFill="1" applyBorder="1" applyAlignment="1" applyProtection="1">
      <alignment/>
      <protection locked="0"/>
    </xf>
    <xf numFmtId="3" fontId="27" fillId="0" borderId="108" xfId="0" applyNumberFormat="1" applyFont="1" applyFill="1" applyBorder="1" applyAlignment="1" applyProtection="1">
      <alignment/>
      <protection/>
    </xf>
    <xf numFmtId="3" fontId="27" fillId="0" borderId="111" xfId="0" applyNumberFormat="1" applyFont="1" applyFill="1" applyBorder="1" applyAlignment="1">
      <alignment/>
    </xf>
    <xf numFmtId="3" fontId="27" fillId="0" borderId="132" xfId="0" applyNumberFormat="1" applyFont="1" applyFill="1" applyBorder="1" applyAlignment="1">
      <alignment/>
    </xf>
    <xf numFmtId="3" fontId="27" fillId="0" borderId="133" xfId="0" applyNumberFormat="1" applyFont="1" applyFill="1" applyBorder="1" applyAlignment="1">
      <alignment/>
    </xf>
    <xf numFmtId="3" fontId="27" fillId="0" borderId="110" xfId="0" applyNumberFormat="1" applyFont="1" applyFill="1" applyBorder="1" applyAlignment="1">
      <alignment/>
    </xf>
    <xf numFmtId="166" fontId="27" fillId="0" borderId="108" xfId="0" applyNumberFormat="1" applyFont="1" applyFill="1" applyBorder="1" applyAlignment="1">
      <alignment horizontal="center"/>
    </xf>
    <xf numFmtId="3" fontId="27" fillId="0" borderId="104" xfId="0" applyNumberFormat="1" applyFont="1" applyFill="1" applyBorder="1" applyAlignment="1">
      <alignment/>
    </xf>
    <xf numFmtId="1" fontId="0" fillId="0" borderId="125" xfId="0" applyNumberFormat="1" applyFont="1" applyFill="1" applyBorder="1" applyAlignment="1" applyProtection="1">
      <alignment horizontal="right"/>
      <protection locked="0"/>
    </xf>
    <xf numFmtId="3" fontId="27" fillId="0" borderId="100" xfId="0" applyNumberFormat="1" applyFont="1" applyFill="1" applyBorder="1" applyAlignment="1" applyProtection="1">
      <alignment/>
      <protection locked="0"/>
    </xf>
    <xf numFmtId="3" fontId="27" fillId="0" borderId="110" xfId="0" applyNumberFormat="1" applyFont="1" applyFill="1" applyBorder="1" applyAlignment="1" applyProtection="1">
      <alignment/>
      <protection locked="0"/>
    </xf>
    <xf numFmtId="3" fontId="27" fillId="0" borderId="132" xfId="0" applyNumberFormat="1" applyFont="1" applyFill="1" applyBorder="1" applyAlignment="1" applyProtection="1">
      <alignment/>
      <protection/>
    </xf>
    <xf numFmtId="3" fontId="0" fillId="0" borderId="95" xfId="0" applyNumberFormat="1" applyFill="1" applyBorder="1" applyAlignment="1">
      <alignment/>
    </xf>
    <xf numFmtId="3" fontId="0" fillId="0" borderId="94" xfId="0" applyNumberFormat="1" applyFill="1" applyBorder="1" applyAlignment="1">
      <alignment/>
    </xf>
    <xf numFmtId="3" fontId="0" fillId="0" borderId="93" xfId="0" applyNumberFormat="1" applyFill="1" applyBorder="1" applyAlignment="1">
      <alignment/>
    </xf>
    <xf numFmtId="0" fontId="29" fillId="0" borderId="112" xfId="0" applyFont="1" applyFill="1" applyBorder="1" applyAlignment="1">
      <alignment/>
    </xf>
    <xf numFmtId="3" fontId="27" fillId="0" borderId="140" xfId="0" applyNumberFormat="1" applyFont="1" applyFill="1" applyBorder="1" applyAlignment="1">
      <alignment/>
    </xf>
    <xf numFmtId="0" fontId="29" fillId="0" borderId="102" xfId="0" applyFont="1" applyFill="1" applyBorder="1" applyAlignment="1">
      <alignment/>
    </xf>
    <xf numFmtId="0" fontId="27" fillId="0" borderId="116" xfId="0" applyFont="1" applyFill="1" applyBorder="1" applyAlignment="1">
      <alignment horizontal="center"/>
    </xf>
    <xf numFmtId="3" fontId="27" fillId="0" borderId="116" xfId="0" applyNumberFormat="1" applyFont="1" applyFill="1" applyBorder="1" applyAlignment="1">
      <alignment/>
    </xf>
    <xf numFmtId="3" fontId="27" fillId="0" borderId="116" xfId="0" applyNumberFormat="1" applyFont="1" applyFill="1" applyBorder="1" applyAlignment="1">
      <alignment horizontal="center"/>
    </xf>
    <xf numFmtId="3" fontId="27" fillId="0" borderId="102" xfId="0" applyNumberFormat="1" applyFont="1" applyFill="1" applyBorder="1" applyAlignment="1" applyProtection="1">
      <alignment/>
      <protection locked="0"/>
    </xf>
    <xf numFmtId="3" fontId="27" fillId="0" borderId="116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42" fillId="0" borderId="19" xfId="0" applyFont="1" applyFill="1" applyBorder="1" applyAlignment="1">
      <alignment vertical="center"/>
    </xf>
    <xf numFmtId="0" fontId="42" fillId="0" borderId="50" xfId="0" applyFont="1" applyFill="1" applyBorder="1" applyAlignment="1">
      <alignment/>
    </xf>
    <xf numFmtId="3" fontId="42" fillId="0" borderId="19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/>
    </xf>
    <xf numFmtId="3" fontId="42" fillId="0" borderId="84" xfId="0" applyNumberFormat="1" applyFont="1" applyFill="1" applyBorder="1" applyAlignment="1">
      <alignment/>
    </xf>
    <xf numFmtId="3" fontId="42" fillId="0" borderId="52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3" fontId="42" fillId="0" borderId="51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 vertical="center"/>
    </xf>
    <xf numFmtId="3" fontId="43" fillId="0" borderId="5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65" xfId="0" applyFont="1" applyFill="1" applyBorder="1" applyAlignment="1">
      <alignment/>
    </xf>
    <xf numFmtId="0" fontId="37" fillId="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24" fillId="0" borderId="68" xfId="0" applyFont="1" applyFill="1" applyBorder="1" applyAlignment="1">
      <alignment horizontal="center"/>
    </xf>
    <xf numFmtId="0" fontId="37" fillId="0" borderId="66" xfId="0" applyFont="1" applyFill="1" applyBorder="1" applyAlignment="1">
      <alignment/>
    </xf>
    <xf numFmtId="0" fontId="37" fillId="0" borderId="67" xfId="0" applyFont="1" applyFill="1" applyBorder="1" applyAlignment="1">
      <alignment/>
    </xf>
    <xf numFmtId="0" fontId="40" fillId="0" borderId="67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41" fillId="0" borderId="58" xfId="0" applyFont="1" applyFill="1" applyBorder="1" applyAlignment="1">
      <alignment horizontal="center"/>
    </xf>
    <xf numFmtId="0" fontId="41" fillId="0" borderId="5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/>
    </xf>
    <xf numFmtId="0" fontId="24" fillId="0" borderId="72" xfId="0" applyFont="1" applyFill="1" applyBorder="1" applyAlignment="1">
      <alignment/>
    </xf>
    <xf numFmtId="0" fontId="0" fillId="0" borderId="72" xfId="0" applyFill="1" applyBorder="1" applyAlignment="1">
      <alignment/>
    </xf>
    <xf numFmtId="165" fontId="0" fillId="0" borderId="72" xfId="0" applyNumberFormat="1" applyFill="1" applyBorder="1" applyAlignment="1">
      <alignment/>
    </xf>
    <xf numFmtId="1" fontId="43" fillId="0" borderId="72" xfId="0" applyNumberFormat="1" applyFont="1" applyFill="1" applyBorder="1" applyAlignment="1">
      <alignment horizontal="right" vertical="center"/>
    </xf>
    <xf numFmtId="3" fontId="42" fillId="0" borderId="70" xfId="0" applyNumberFormat="1" applyFont="1" applyFill="1" applyBorder="1" applyAlignment="1">
      <alignment vertical="center"/>
    </xf>
    <xf numFmtId="3" fontId="42" fillId="0" borderId="71" xfId="0" applyNumberFormat="1" applyFont="1" applyFill="1" applyBorder="1" applyAlignment="1">
      <alignment vertical="center"/>
    </xf>
    <xf numFmtId="3" fontId="43" fillId="0" borderId="50" xfId="0" applyNumberFormat="1" applyFont="1" applyFill="1" applyBorder="1" applyAlignment="1">
      <alignment horizontal="center" vertical="center"/>
    </xf>
    <xf numFmtId="3" fontId="43" fillId="0" borderId="72" xfId="0" applyNumberFormat="1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vertical="center"/>
    </xf>
    <xf numFmtId="0" fontId="24" fillId="0" borderId="76" xfId="0" applyFont="1" applyFill="1" applyBorder="1" applyAlignment="1">
      <alignment/>
    </xf>
    <xf numFmtId="0" fontId="0" fillId="0" borderId="76" xfId="0" applyFill="1" applyBorder="1" applyAlignment="1">
      <alignment/>
    </xf>
    <xf numFmtId="165" fontId="0" fillId="0" borderId="76" xfId="0" applyNumberFormat="1" applyFill="1" applyBorder="1" applyAlignment="1">
      <alignment/>
    </xf>
    <xf numFmtId="2" fontId="42" fillId="0" borderId="74" xfId="0" applyNumberFormat="1" applyFont="1" applyFill="1" applyBorder="1" applyAlignment="1">
      <alignment vertical="center"/>
    </xf>
    <xf numFmtId="2" fontId="42" fillId="0" borderId="53" xfId="0" applyNumberFormat="1" applyFont="1" applyFill="1" applyBorder="1" applyAlignment="1">
      <alignment/>
    </xf>
    <xf numFmtId="2" fontId="43" fillId="0" borderId="76" xfId="0" applyNumberFormat="1" applyFont="1" applyFill="1" applyBorder="1" applyAlignment="1">
      <alignment horizontal="right" vertical="center"/>
    </xf>
    <xf numFmtId="4" fontId="42" fillId="0" borderId="74" xfId="0" applyNumberFormat="1" applyFont="1" applyFill="1" applyBorder="1" applyAlignment="1">
      <alignment vertical="center"/>
    </xf>
    <xf numFmtId="4" fontId="42" fillId="0" borderId="69" xfId="0" applyNumberFormat="1" applyFont="1" applyFill="1" applyBorder="1" applyAlignment="1">
      <alignment vertical="center"/>
    </xf>
    <xf numFmtId="4" fontId="42" fillId="0" borderId="75" xfId="0" applyNumberFormat="1" applyFont="1" applyFill="1" applyBorder="1" applyAlignment="1">
      <alignment vertical="center"/>
    </xf>
    <xf numFmtId="2" fontId="42" fillId="0" borderId="69" xfId="0" applyNumberFormat="1" applyFont="1" applyFill="1" applyBorder="1" applyAlignment="1">
      <alignment vertical="center"/>
    </xf>
    <xf numFmtId="166" fontId="43" fillId="0" borderId="53" xfId="0" applyNumberFormat="1" applyFont="1" applyFill="1" applyBorder="1" applyAlignment="1">
      <alignment vertical="center"/>
    </xf>
    <xf numFmtId="3" fontId="43" fillId="0" borderId="76" xfId="0" applyNumberFormat="1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vertical="center"/>
    </xf>
    <xf numFmtId="0" fontId="44" fillId="0" borderId="78" xfId="0" applyFont="1" applyFill="1" applyBorder="1" applyAlignment="1">
      <alignment horizontal="center" vertical="center"/>
    </xf>
    <xf numFmtId="3" fontId="0" fillId="0" borderId="78" xfId="0" applyNumberFormat="1" applyFill="1" applyBorder="1" applyAlignment="1">
      <alignment/>
    </xf>
    <xf numFmtId="3" fontId="42" fillId="0" borderId="29" xfId="0" applyNumberFormat="1" applyFont="1" applyFill="1" applyBorder="1" applyAlignment="1">
      <alignment vertical="center"/>
    </xf>
    <xf numFmtId="3" fontId="43" fillId="0" borderId="78" xfId="0" applyNumberFormat="1" applyFont="1" applyFill="1" applyBorder="1" applyAlignment="1">
      <alignment horizontal="center" vertical="center"/>
    </xf>
    <xf numFmtId="3" fontId="42" fillId="0" borderId="85" xfId="0" applyNumberFormat="1" applyFont="1" applyFill="1" applyBorder="1" applyAlignment="1">
      <alignment vertical="center"/>
    </xf>
    <xf numFmtId="3" fontId="42" fillId="0" borderId="77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3" fillId="0" borderId="52" xfId="0" applyNumberFormat="1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/>
    </xf>
    <xf numFmtId="3" fontId="0" fillId="0" borderId="90" xfId="0" applyNumberFormat="1" applyFill="1" applyBorder="1" applyAlignment="1">
      <alignment/>
    </xf>
    <xf numFmtId="3" fontId="42" fillId="0" borderId="79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80" xfId="0" applyNumberFormat="1" applyFont="1" applyFill="1" applyBorder="1" applyAlignment="1">
      <alignment vertical="center"/>
    </xf>
    <xf numFmtId="0" fontId="44" fillId="0" borderId="72" xfId="0" applyFont="1" applyFill="1" applyBorder="1" applyAlignment="1">
      <alignment horizontal="center" vertical="center"/>
    </xf>
    <xf numFmtId="3" fontId="0" fillId="0" borderId="72" xfId="0" applyNumberFormat="1" applyFill="1" applyBorder="1" applyAlignment="1">
      <alignment/>
    </xf>
    <xf numFmtId="3" fontId="42" fillId="0" borderId="0" xfId="0" applyNumberFormat="1" applyFont="1" applyFill="1" applyAlignment="1">
      <alignment vertical="center"/>
    </xf>
    <xf numFmtId="0" fontId="24" fillId="0" borderId="63" xfId="0" applyFont="1" applyFill="1" applyBorder="1" applyAlignment="1">
      <alignment vertical="center"/>
    </xf>
    <xf numFmtId="0" fontId="24" fillId="0" borderId="64" xfId="0" applyFont="1" applyFill="1" applyBorder="1" applyAlignment="1">
      <alignment/>
    </xf>
    <xf numFmtId="0" fontId="45" fillId="0" borderId="64" xfId="0" applyFont="1" applyFill="1" applyBorder="1" applyAlignment="1">
      <alignment horizontal="center" vertical="center"/>
    </xf>
    <xf numFmtId="3" fontId="19" fillId="0" borderId="64" xfId="0" applyNumberFormat="1" applyFont="1" applyFill="1" applyBorder="1" applyAlignment="1">
      <alignment/>
    </xf>
    <xf numFmtId="3" fontId="43" fillId="0" borderId="62" xfId="0" applyNumberFormat="1" applyFont="1" applyFill="1" applyBorder="1" applyAlignment="1">
      <alignment vertical="center"/>
    </xf>
    <xf numFmtId="3" fontId="43" fillId="0" borderId="61" xfId="0" applyNumberFormat="1" applyFont="1" applyFill="1" applyBorder="1" applyAlignment="1">
      <alignment/>
    </xf>
    <xf numFmtId="3" fontId="43" fillId="0" borderId="64" xfId="0" applyNumberFormat="1" applyFont="1" applyFill="1" applyBorder="1" applyAlignment="1">
      <alignment horizontal="center" vertical="center"/>
    </xf>
    <xf numFmtId="3" fontId="43" fillId="0" borderId="81" xfId="0" applyNumberFormat="1" applyFont="1" applyFill="1" applyBorder="1" applyAlignment="1">
      <alignment vertical="center"/>
    </xf>
    <xf numFmtId="3" fontId="43" fillId="0" borderId="82" xfId="0" applyNumberFormat="1" applyFont="1" applyFill="1" applyBorder="1" applyAlignment="1">
      <alignment vertical="center"/>
    </xf>
    <xf numFmtId="3" fontId="43" fillId="0" borderId="61" xfId="0" applyNumberFormat="1" applyFont="1" applyFill="1" applyBorder="1" applyAlignment="1">
      <alignment horizontal="center" vertical="center"/>
    </xf>
    <xf numFmtId="3" fontId="42" fillId="0" borderId="53" xfId="0" applyNumberFormat="1" applyFont="1" applyFill="1" applyBorder="1" applyAlignment="1">
      <alignment/>
    </xf>
    <xf numFmtId="0" fontId="37" fillId="0" borderId="66" xfId="0" applyFont="1" applyFill="1" applyBorder="1" applyAlignment="1">
      <alignment vertical="center"/>
    </xf>
    <xf numFmtId="0" fontId="46" fillId="0" borderId="86" xfId="0" applyFont="1" applyFill="1" applyBorder="1" applyAlignment="1">
      <alignment horizontal="center"/>
    </xf>
    <xf numFmtId="3" fontId="0" fillId="0" borderId="86" xfId="0" applyNumberFormat="1" applyFill="1" applyBorder="1" applyAlignment="1">
      <alignment/>
    </xf>
    <xf numFmtId="3" fontId="43" fillId="0" borderId="68" xfId="0" applyNumberFormat="1" applyFont="1" applyFill="1" applyBorder="1" applyAlignment="1">
      <alignment vertical="center"/>
    </xf>
    <xf numFmtId="3" fontId="42" fillId="0" borderId="67" xfId="0" applyNumberFormat="1" applyFont="1" applyFill="1" applyBorder="1" applyAlignment="1">
      <alignment vertical="center"/>
    </xf>
    <xf numFmtId="3" fontId="43" fillId="0" borderId="49" xfId="0" applyNumberFormat="1" applyFont="1" applyFill="1" applyBorder="1" applyAlignment="1">
      <alignment vertical="center"/>
    </xf>
    <xf numFmtId="166" fontId="43" fillId="0" borderId="68" xfId="0" applyNumberFormat="1" applyFont="1" applyFill="1" applyBorder="1" applyAlignment="1">
      <alignment vertical="center"/>
    </xf>
    <xf numFmtId="0" fontId="46" fillId="0" borderId="78" xfId="0" applyFont="1" applyFill="1" applyBorder="1" applyAlignment="1">
      <alignment horizontal="center"/>
    </xf>
    <xf numFmtId="3" fontId="43" fillId="0" borderId="78" xfId="0" applyNumberFormat="1" applyFont="1" applyFill="1" applyBorder="1" applyAlignment="1">
      <alignment vertical="center"/>
    </xf>
    <xf numFmtId="3" fontId="43" fillId="0" borderId="52" xfId="0" applyNumberFormat="1" applyFont="1" applyFill="1" applyBorder="1" applyAlignment="1">
      <alignment vertical="center"/>
    </xf>
    <xf numFmtId="166" fontId="43" fillId="0" borderId="78" xfId="0" applyNumberFormat="1" applyFont="1" applyFill="1" applyBorder="1" applyAlignment="1">
      <alignment vertical="center"/>
    </xf>
    <xf numFmtId="0" fontId="37" fillId="0" borderId="58" xfId="0" applyFont="1" applyFill="1" applyBorder="1" applyAlignment="1">
      <alignment vertical="center"/>
    </xf>
    <xf numFmtId="0" fontId="46" fillId="0" borderId="56" xfId="0" applyFont="1" applyFill="1" applyBorder="1" applyAlignment="1">
      <alignment horizontal="center"/>
    </xf>
    <xf numFmtId="3" fontId="0" fillId="0" borderId="56" xfId="0" applyNumberFormat="1" applyFill="1" applyBorder="1" applyAlignment="1">
      <alignment/>
    </xf>
    <xf numFmtId="3" fontId="43" fillId="0" borderId="76" xfId="0" applyNumberFormat="1" applyFont="1" applyFill="1" applyBorder="1" applyAlignment="1">
      <alignment vertical="center"/>
    </xf>
    <xf numFmtId="3" fontId="42" fillId="0" borderId="57" xfId="0" applyNumberFormat="1" applyFont="1" applyFill="1" applyBorder="1" applyAlignment="1">
      <alignment vertical="center"/>
    </xf>
    <xf numFmtId="3" fontId="42" fillId="0" borderId="27" xfId="0" applyNumberFormat="1" applyFont="1" applyFill="1" applyBorder="1" applyAlignment="1">
      <alignment vertical="center"/>
    </xf>
    <xf numFmtId="3" fontId="43" fillId="0" borderId="54" xfId="0" applyNumberFormat="1" applyFont="1" applyFill="1" applyBorder="1" applyAlignment="1">
      <alignment vertical="center"/>
    </xf>
    <xf numFmtId="166" fontId="43" fillId="0" borderId="56" xfId="0" applyNumberFormat="1" applyFont="1" applyFill="1" applyBorder="1" applyAlignment="1">
      <alignment vertical="center"/>
    </xf>
    <xf numFmtId="0" fontId="37" fillId="0" borderId="86" xfId="0" applyFont="1" applyFill="1" applyBorder="1" applyAlignment="1">
      <alignment horizontal="center" vertical="center"/>
    </xf>
    <xf numFmtId="3" fontId="43" fillId="0" borderId="90" xfId="0" applyNumberFormat="1" applyFont="1" applyFill="1" applyBorder="1" applyAlignment="1">
      <alignment vertical="center"/>
    </xf>
    <xf numFmtId="0" fontId="37" fillId="0" borderId="72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center" vertical="center"/>
    </xf>
    <xf numFmtId="3" fontId="43" fillId="0" borderId="83" xfId="0" applyNumberFormat="1" applyFont="1" applyFill="1" applyBorder="1" applyAlignment="1">
      <alignment vertical="center"/>
    </xf>
    <xf numFmtId="3" fontId="43" fillId="0" borderId="50" xfId="0" applyNumberFormat="1" applyFont="1" applyFill="1" applyBorder="1" applyAlignment="1">
      <alignment vertical="center"/>
    </xf>
    <xf numFmtId="166" fontId="43" fillId="0" borderId="72" xfId="0" applyNumberFormat="1" applyFont="1" applyFill="1" applyBorder="1" applyAlignment="1">
      <alignment vertical="center"/>
    </xf>
    <xf numFmtId="0" fontId="43" fillId="0" borderId="63" xfId="0" applyFont="1" applyFill="1" applyBorder="1" applyAlignment="1">
      <alignment vertical="center"/>
    </xf>
    <xf numFmtId="0" fontId="44" fillId="0" borderId="64" xfId="0" applyFont="1" applyFill="1" applyBorder="1" applyAlignment="1">
      <alignment horizontal="center" vertical="center"/>
    </xf>
    <xf numFmtId="3" fontId="43" fillId="0" borderId="64" xfId="0" applyNumberFormat="1" applyFont="1" applyFill="1" applyBorder="1" applyAlignment="1">
      <alignment vertical="center"/>
    </xf>
    <xf numFmtId="3" fontId="43" fillId="0" borderId="61" xfId="0" applyNumberFormat="1" applyFont="1" applyFill="1" applyBorder="1" applyAlignment="1">
      <alignment vertical="center"/>
    </xf>
    <xf numFmtId="166" fontId="43" fillId="0" borderId="64" xfId="0" applyNumberFormat="1" applyFont="1" applyFill="1" applyBorder="1" applyAlignment="1">
      <alignment vertical="center"/>
    </xf>
    <xf numFmtId="0" fontId="44" fillId="0" borderId="78" xfId="0" applyFont="1" applyFill="1" applyBorder="1" applyAlignment="1">
      <alignment/>
    </xf>
    <xf numFmtId="0" fontId="44" fillId="0" borderId="76" xfId="0" applyFont="1" applyFill="1" applyBorder="1" applyAlignment="1">
      <alignment/>
    </xf>
    <xf numFmtId="0" fontId="44" fillId="0" borderId="72" xfId="0" applyFont="1" applyFill="1" applyBorder="1" applyAlignment="1">
      <alignment horizontal="center"/>
    </xf>
    <xf numFmtId="0" fontId="43" fillId="0" borderId="72" xfId="0" applyFont="1" applyFill="1" applyBorder="1" applyAlignment="1">
      <alignment/>
    </xf>
    <xf numFmtId="3" fontId="43" fillId="0" borderId="72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0" fontId="42" fillId="0" borderId="63" xfId="0" applyFont="1" applyFill="1" applyBorder="1" applyAlignment="1">
      <alignment vertical="center"/>
    </xf>
    <xf numFmtId="0" fontId="43" fillId="0" borderId="64" xfId="0" applyFont="1" applyFill="1" applyBorder="1" applyAlignment="1">
      <alignment/>
    </xf>
    <xf numFmtId="0" fontId="45" fillId="0" borderId="64" xfId="0" applyFont="1" applyFill="1" applyBorder="1" applyAlignment="1">
      <alignment horizontal="center"/>
    </xf>
    <xf numFmtId="0" fontId="47" fillId="0" borderId="64" xfId="0" applyFont="1" applyFill="1" applyBorder="1" applyAlignment="1">
      <alignment horizontal="center"/>
    </xf>
    <xf numFmtId="3" fontId="43" fillId="0" borderId="6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41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20" fillId="0" borderId="0" xfId="0" applyFont="1" applyFill="1" applyAlignment="1" applyProtection="1">
      <alignment horizontal="right"/>
      <protection hidden="1"/>
    </xf>
    <xf numFmtId="0" fontId="30" fillId="0" borderId="0" xfId="0" applyFont="1" applyFill="1" applyAlignment="1" applyProtection="1">
      <alignment horizontal="left"/>
      <protection hidden="1"/>
    </xf>
    <xf numFmtId="0" fontId="40" fillId="0" borderId="63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/>
    </xf>
    <xf numFmtId="3" fontId="0" fillId="0" borderId="112" xfId="0" applyNumberFormat="1" applyFont="1" applyFill="1" applyBorder="1" applyAlignment="1">
      <alignment horizontal="right"/>
    </xf>
    <xf numFmtId="3" fontId="28" fillId="0" borderId="92" xfId="0" applyNumberFormat="1" applyFont="1" applyFill="1" applyBorder="1" applyAlignment="1">
      <alignment horizontal="right"/>
    </xf>
    <xf numFmtId="3" fontId="28" fillId="0" borderId="107" xfId="0" applyNumberFormat="1" applyFont="1" applyFill="1" applyBorder="1" applyAlignment="1">
      <alignment horizontal="right"/>
    </xf>
    <xf numFmtId="3" fontId="0" fillId="0" borderId="121" xfId="0" applyNumberFormat="1" applyFont="1" applyFill="1" applyBorder="1" applyAlignment="1">
      <alignment horizontal="right"/>
    </xf>
    <xf numFmtId="3" fontId="28" fillId="0" borderId="99" xfId="0" applyNumberFormat="1" applyFont="1" applyFill="1" applyBorder="1" applyAlignment="1">
      <alignment horizontal="right"/>
    </xf>
    <xf numFmtId="3" fontId="28" fillId="0" borderId="121" xfId="0" applyNumberFormat="1" applyFont="1" applyFill="1" applyBorder="1" applyAlignment="1">
      <alignment horizontal="right"/>
    </xf>
    <xf numFmtId="0" fontId="67" fillId="0" borderId="96" xfId="0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right"/>
    </xf>
    <xf numFmtId="3" fontId="28" fillId="0" borderId="98" xfId="0" applyNumberFormat="1" applyFont="1" applyFill="1" applyBorder="1" applyAlignment="1">
      <alignment horizontal="right"/>
    </xf>
    <xf numFmtId="3" fontId="28" fillId="0" borderId="104" xfId="0" applyNumberFormat="1" applyFont="1" applyFill="1" applyBorder="1" applyAlignment="1">
      <alignment horizontal="right"/>
    </xf>
    <xf numFmtId="0" fontId="67" fillId="0" borderId="98" xfId="0" applyFont="1" applyFill="1" applyBorder="1" applyAlignment="1">
      <alignment horizontal="center"/>
    </xf>
    <xf numFmtId="3" fontId="28" fillId="0" borderId="105" xfId="0" applyNumberFormat="1" applyFont="1" applyFill="1" applyBorder="1" applyAlignment="1">
      <alignment horizontal="right"/>
    </xf>
    <xf numFmtId="0" fontId="67" fillId="0" borderId="100" xfId="0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right"/>
    </xf>
    <xf numFmtId="3" fontId="28" fillId="0" borderId="95" xfId="0" applyNumberFormat="1" applyFont="1" applyFill="1" applyBorder="1" applyAlignment="1">
      <alignment horizontal="right"/>
    </xf>
    <xf numFmtId="0" fontId="68" fillId="0" borderId="108" xfId="0" applyFont="1" applyFill="1" applyBorder="1" applyAlignment="1">
      <alignment horizontal="center"/>
    </xf>
    <xf numFmtId="0" fontId="67" fillId="0" borderId="99" xfId="0" applyFont="1" applyFill="1" applyBorder="1" applyAlignment="1">
      <alignment horizontal="center"/>
    </xf>
    <xf numFmtId="3" fontId="28" fillId="0" borderId="106" xfId="0" applyNumberFormat="1" applyFont="1" applyFill="1" applyBorder="1" applyAlignment="1">
      <alignment horizontal="right"/>
    </xf>
    <xf numFmtId="3" fontId="0" fillId="0" borderId="114" xfId="0" applyNumberFormat="1" applyFont="1" applyFill="1" applyBorder="1" applyAlignment="1">
      <alignment horizontal="right"/>
    </xf>
    <xf numFmtId="3" fontId="26" fillId="0" borderId="97" xfId="0" applyNumberFormat="1" applyFont="1" applyFill="1" applyBorder="1" applyAlignment="1">
      <alignment horizontal="right"/>
    </xf>
    <xf numFmtId="3" fontId="26" fillId="0" borderId="114" xfId="0" applyNumberFormat="1" applyFont="1" applyFill="1" applyBorder="1" applyAlignment="1">
      <alignment horizontal="right"/>
    </xf>
    <xf numFmtId="3" fontId="26" fillId="0" borderId="98" xfId="0" applyNumberFormat="1" applyFont="1" applyFill="1" applyBorder="1" applyAlignment="1">
      <alignment horizontal="right"/>
    </xf>
    <xf numFmtId="3" fontId="26" fillId="0" borderId="105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 horizontal="right"/>
    </xf>
    <xf numFmtId="3" fontId="26" fillId="0" borderId="99" xfId="0" applyNumberFormat="1" applyFont="1" applyFill="1" applyBorder="1" applyAlignment="1">
      <alignment horizontal="right"/>
    </xf>
    <xf numFmtId="3" fontId="26" fillId="0" borderId="121" xfId="0" applyNumberFormat="1" applyFont="1" applyFill="1" applyBorder="1" applyAlignment="1">
      <alignment horizontal="right"/>
    </xf>
    <xf numFmtId="3" fontId="26" fillId="0" borderId="96" xfId="0" applyNumberFormat="1" applyFont="1" applyFill="1" applyBorder="1" applyAlignment="1">
      <alignment horizontal="right"/>
    </xf>
    <xf numFmtId="3" fontId="26" fillId="0" borderId="104" xfId="0" applyNumberFormat="1" applyFont="1" applyFill="1" applyBorder="1" applyAlignment="1">
      <alignment horizontal="right"/>
    </xf>
    <xf numFmtId="0" fontId="69" fillId="0" borderId="98" xfId="0" applyFont="1" applyFill="1" applyBorder="1" applyAlignment="1">
      <alignment horizontal="center"/>
    </xf>
    <xf numFmtId="3" fontId="26" fillId="0" borderId="100" xfId="0" applyNumberFormat="1" applyFont="1" applyFill="1" applyBorder="1" applyAlignment="1">
      <alignment horizontal="right"/>
    </xf>
    <xf numFmtId="3" fontId="26" fillId="0" borderId="106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0" fontId="67" fillId="0" borderId="95" xfId="0" applyFont="1" applyFill="1" applyBorder="1" applyAlignment="1">
      <alignment/>
    </xf>
    <xf numFmtId="3" fontId="27" fillId="0" borderId="109" xfId="0" applyNumberFormat="1" applyFont="1" applyFill="1" applyBorder="1" applyAlignment="1">
      <alignment horizontal="right"/>
    </xf>
    <xf numFmtId="3" fontId="27" fillId="0" borderId="117" xfId="0" applyNumberFormat="1" applyFont="1" applyFill="1" applyBorder="1" applyAlignment="1">
      <alignment horizontal="right"/>
    </xf>
    <xf numFmtId="166" fontId="27" fillId="0" borderId="109" xfId="0" applyNumberFormat="1" applyFont="1" applyFill="1" applyBorder="1" applyAlignment="1">
      <alignment horizontal="right"/>
    </xf>
    <xf numFmtId="0" fontId="68" fillId="0" borderId="11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indent="1"/>
    </xf>
    <xf numFmtId="0" fontId="70" fillId="0" borderId="0" xfId="0" applyFont="1" applyFill="1" applyBorder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3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 indent="1"/>
    </xf>
    <xf numFmtId="0" fontId="21" fillId="0" borderId="110" xfId="0" applyFont="1" applyFill="1" applyBorder="1" applyAlignment="1">
      <alignment horizontal="left" indent="1"/>
    </xf>
    <xf numFmtId="3" fontId="22" fillId="0" borderId="109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 indent="1"/>
    </xf>
    <xf numFmtId="0" fontId="25" fillId="0" borderId="10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/>
    </xf>
    <xf numFmtId="3" fontId="7" fillId="0" borderId="108" xfId="0" applyNumberFormat="1" applyFont="1" applyFill="1" applyBorder="1" applyAlignment="1">
      <alignment horizontal="center" vertical="center"/>
    </xf>
    <xf numFmtId="3" fontId="7" fillId="0" borderId="108" xfId="0" applyNumberFormat="1" applyFont="1" applyFill="1" applyBorder="1" applyAlignment="1">
      <alignment horizontal="center"/>
    </xf>
    <xf numFmtId="3" fontId="19" fillId="0" borderId="110" xfId="0" applyNumberFormat="1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3" fontId="7" fillId="0" borderId="101" xfId="0" applyNumberFormat="1" applyFont="1" applyFill="1" applyBorder="1" applyAlignment="1">
      <alignment horizontal="center"/>
    </xf>
    <xf numFmtId="3" fontId="19" fillId="0" borderId="116" xfId="0" applyNumberFormat="1" applyFont="1" applyFill="1" applyBorder="1" applyAlignment="1">
      <alignment horizontal="center"/>
    </xf>
    <xf numFmtId="3" fontId="19" fillId="0" borderId="117" xfId="0" applyNumberFormat="1" applyFont="1" applyFill="1" applyBorder="1" applyAlignment="1">
      <alignment horizontal="center"/>
    </xf>
    <xf numFmtId="3" fontId="7" fillId="0" borderId="138" xfId="0" applyNumberFormat="1" applyFont="1" applyFill="1" applyBorder="1" applyAlignment="1">
      <alignment horizontal="center"/>
    </xf>
    <xf numFmtId="3" fontId="7" fillId="0" borderId="117" xfId="0" applyNumberFormat="1" applyFont="1" applyFill="1" applyBorder="1" applyAlignment="1">
      <alignment horizontal="center"/>
    </xf>
    <xf numFmtId="0" fontId="19" fillId="0" borderId="101" xfId="0" applyFont="1" applyFill="1" applyBorder="1" applyAlignment="1">
      <alignment horizontal="center" shrinkToFit="1"/>
    </xf>
    <xf numFmtId="0" fontId="7" fillId="0" borderId="95" xfId="0" applyFont="1" applyFill="1" applyBorder="1" applyAlignment="1">
      <alignment horizontal="center"/>
    </xf>
    <xf numFmtId="0" fontId="25" fillId="0" borderId="107" xfId="0" applyFont="1" applyFill="1" applyBorder="1" applyAlignment="1">
      <alignment horizontal="left" indent="1"/>
    </xf>
    <xf numFmtId="3" fontId="0" fillId="0" borderId="92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>
      <alignment horizontal="right"/>
    </xf>
    <xf numFmtId="3" fontId="19" fillId="0" borderId="104" xfId="0" applyNumberFormat="1" applyFont="1" applyFill="1" applyBorder="1" applyAlignment="1">
      <alignment horizontal="right"/>
    </xf>
    <xf numFmtId="3" fontId="19" fillId="0" borderId="92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92" xfId="0" applyNumberFormat="1" applyFill="1" applyBorder="1" applyAlignment="1" applyProtection="1">
      <alignment horizontal="right"/>
      <protection locked="0"/>
    </xf>
    <xf numFmtId="165" fontId="19" fillId="0" borderId="97" xfId="0" applyNumberFormat="1" applyFont="1" applyFill="1" applyBorder="1" applyAlignment="1">
      <alignment horizontal="right"/>
    </xf>
    <xf numFmtId="3" fontId="19" fillId="0" borderId="136" xfId="0" applyNumberFormat="1" applyFont="1" applyFill="1" applyBorder="1" applyAlignment="1">
      <alignment horizontal="right"/>
    </xf>
    <xf numFmtId="0" fontId="0" fillId="0" borderId="97" xfId="0" applyFill="1" applyBorder="1" applyAlignment="1">
      <alignment horizontal="right"/>
    </xf>
    <xf numFmtId="3" fontId="28" fillId="0" borderId="113" xfId="0" applyNumberFormat="1" applyFont="1" applyFill="1" applyBorder="1" applyAlignment="1">
      <alignment horizontal="right"/>
    </xf>
    <xf numFmtId="3" fontId="19" fillId="0" borderId="113" xfId="0" applyNumberFormat="1" applyFont="1" applyFill="1" applyBorder="1" applyAlignment="1">
      <alignment horizontal="right"/>
    </xf>
    <xf numFmtId="0" fontId="25" fillId="0" borderId="121" xfId="0" applyFont="1" applyFill="1" applyBorder="1" applyAlignment="1">
      <alignment horizontal="left" indent="1"/>
    </xf>
    <xf numFmtId="3" fontId="0" fillId="0" borderId="99" xfId="0" applyNumberFormat="1" applyFont="1" applyFill="1" applyBorder="1" applyAlignment="1">
      <alignment horizontal="right"/>
    </xf>
    <xf numFmtId="3" fontId="19" fillId="0" borderId="121" xfId="0" applyNumberFormat="1" applyFont="1" applyFill="1" applyBorder="1" applyAlignment="1">
      <alignment horizontal="right"/>
    </xf>
    <xf numFmtId="3" fontId="19" fillId="0" borderId="99" xfId="0" applyNumberFormat="1" applyFont="1" applyFill="1" applyBorder="1" applyAlignment="1">
      <alignment horizontal="right"/>
    </xf>
    <xf numFmtId="3" fontId="0" fillId="0" borderId="122" xfId="0" applyNumberFormat="1" applyFill="1" applyBorder="1" applyAlignment="1" applyProtection="1">
      <alignment horizontal="right"/>
      <protection locked="0"/>
    </xf>
    <xf numFmtId="3" fontId="0" fillId="0" borderId="100" xfId="0" applyNumberFormat="1" applyFill="1" applyBorder="1" applyAlignment="1" applyProtection="1">
      <alignment horizontal="right"/>
      <protection locked="0"/>
    </xf>
    <xf numFmtId="3" fontId="19" fillId="0" borderId="124" xfId="0" applyNumberFormat="1" applyFont="1" applyFill="1" applyBorder="1" applyAlignment="1">
      <alignment horizontal="right"/>
    </xf>
    <xf numFmtId="0" fontId="0" fillId="0" borderId="100" xfId="0" applyFill="1" applyBorder="1" applyAlignment="1">
      <alignment horizontal="right"/>
    </xf>
    <xf numFmtId="3" fontId="28" fillId="0" borderId="124" xfId="0" applyNumberFormat="1" applyFont="1" applyFill="1" applyBorder="1" applyAlignment="1">
      <alignment horizontal="right"/>
    </xf>
    <xf numFmtId="0" fontId="25" fillId="0" borderId="104" xfId="0" applyFont="1" applyFill="1" applyBorder="1" applyAlignment="1">
      <alignment horizontal="left" indent="1"/>
    </xf>
    <xf numFmtId="3" fontId="0" fillId="0" borderId="98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28" fillId="0" borderId="96" xfId="0" applyNumberFormat="1" applyFont="1" applyFill="1" applyBorder="1" applyAlignment="1">
      <alignment horizontal="right"/>
    </xf>
    <xf numFmtId="3" fontId="0" fillId="0" borderId="125" xfId="0" applyNumberFormat="1" applyFill="1" applyBorder="1" applyAlignment="1" applyProtection="1">
      <alignment horizontal="right"/>
      <protection locked="0"/>
    </xf>
    <xf numFmtId="3" fontId="0" fillId="0" borderId="97" xfId="0" applyNumberFormat="1" applyFill="1" applyBorder="1" applyAlignment="1" applyProtection="1">
      <alignment horizontal="right"/>
      <protection locked="0"/>
    </xf>
    <xf numFmtId="3" fontId="19" fillId="0" borderId="96" xfId="0" applyNumberFormat="1" applyFont="1" applyFill="1" applyBorder="1" applyAlignment="1">
      <alignment horizontal="right"/>
    </xf>
    <xf numFmtId="3" fontId="19" fillId="0" borderId="97" xfId="0" applyNumberFormat="1" applyFont="1" applyFill="1" applyBorder="1" applyAlignment="1">
      <alignment horizontal="right"/>
    </xf>
    <xf numFmtId="3" fontId="28" fillId="0" borderId="128" xfId="0" applyNumberFormat="1" applyFont="1" applyFill="1" applyBorder="1" applyAlignment="1">
      <alignment horizontal="right"/>
    </xf>
    <xf numFmtId="3" fontId="19" fillId="0" borderId="128" xfId="0" applyNumberFormat="1" applyFont="1" applyFill="1" applyBorder="1" applyAlignment="1">
      <alignment horizontal="right"/>
    </xf>
    <xf numFmtId="0" fontId="25" fillId="0" borderId="105" xfId="0" applyFont="1" applyFill="1" applyBorder="1" applyAlignment="1">
      <alignment horizontal="left" indent="1"/>
    </xf>
    <xf numFmtId="3" fontId="19" fillId="0" borderId="105" xfId="0" applyNumberFormat="1" applyFont="1" applyFill="1" applyBorder="1" applyAlignment="1">
      <alignment horizontal="right"/>
    </xf>
    <xf numFmtId="3" fontId="0" fillId="0" borderId="98" xfId="0" applyNumberFormat="1" applyFill="1" applyBorder="1" applyAlignment="1" applyProtection="1">
      <alignment horizontal="right"/>
      <protection locked="0"/>
    </xf>
    <xf numFmtId="3" fontId="19" fillId="0" borderId="98" xfId="0" applyNumberFormat="1" applyFont="1" applyFill="1" applyBorder="1" applyAlignment="1">
      <alignment horizontal="right"/>
    </xf>
    <xf numFmtId="0" fontId="0" fillId="0" borderId="98" xfId="0" applyFill="1" applyBorder="1" applyAlignment="1">
      <alignment horizontal="right"/>
    </xf>
    <xf numFmtId="3" fontId="19" fillId="0" borderId="106" xfId="0" applyNumberFormat="1" applyFont="1" applyFill="1" applyBorder="1" applyAlignment="1">
      <alignment horizontal="right"/>
    </xf>
    <xf numFmtId="3" fontId="0" fillId="0" borderId="99" xfId="0" applyNumberFormat="1" applyFill="1" applyBorder="1" applyAlignment="1" applyProtection="1">
      <alignment horizontal="right"/>
      <protection locked="0"/>
    </xf>
    <xf numFmtId="3" fontId="0" fillId="0" borderId="139" xfId="0" applyNumberFormat="1" applyFill="1" applyBorder="1" applyAlignment="1" applyProtection="1">
      <alignment horizontal="right"/>
      <protection locked="0"/>
    </xf>
    <xf numFmtId="3" fontId="19" fillId="0" borderId="100" xfId="0" applyNumberFormat="1" applyFont="1" applyFill="1" applyBorder="1" applyAlignment="1">
      <alignment horizontal="right"/>
    </xf>
    <xf numFmtId="0" fontId="0" fillId="0" borderId="99" xfId="0" applyFill="1" applyBorder="1" applyAlignment="1">
      <alignment horizontal="right"/>
    </xf>
    <xf numFmtId="3" fontId="28" fillId="0" borderId="120" xfId="0" applyNumberFormat="1" applyFont="1" applyFill="1" applyBorder="1" applyAlignment="1">
      <alignment horizontal="right"/>
    </xf>
    <xf numFmtId="3" fontId="19" fillId="0" borderId="120" xfId="0" applyNumberFormat="1" applyFont="1" applyFill="1" applyBorder="1" applyAlignment="1">
      <alignment horizontal="right"/>
    </xf>
    <xf numFmtId="0" fontId="25" fillId="0" borderId="110" xfId="0" applyFont="1" applyFill="1" applyBorder="1" applyAlignment="1">
      <alignment horizontal="left" indent="1"/>
    </xf>
    <xf numFmtId="3" fontId="26" fillId="0" borderId="108" xfId="0" applyNumberFormat="1" applyFont="1" applyFill="1" applyBorder="1" applyAlignment="1">
      <alignment horizontal="right"/>
    </xf>
    <xf numFmtId="3" fontId="26" fillId="0" borderId="110" xfId="0" applyNumberFormat="1" applyFont="1" applyFill="1" applyBorder="1" applyAlignment="1">
      <alignment horizontal="right"/>
    </xf>
    <xf numFmtId="3" fontId="28" fillId="0" borderId="108" xfId="0" applyNumberFormat="1" applyFont="1" applyFill="1" applyBorder="1" applyAlignment="1">
      <alignment horizontal="right"/>
    </xf>
    <xf numFmtId="3" fontId="28" fillId="0" borderId="110" xfId="0" applyNumberFormat="1" applyFont="1" applyFill="1" applyBorder="1" applyAlignment="1">
      <alignment horizontal="right"/>
    </xf>
    <xf numFmtId="3" fontId="19" fillId="0" borderId="110" xfId="0" applyNumberFormat="1" applyFont="1" applyFill="1" applyBorder="1" applyAlignment="1">
      <alignment horizontal="right"/>
    </xf>
    <xf numFmtId="3" fontId="19" fillId="0" borderId="108" xfId="0" applyNumberFormat="1" applyFont="1" applyFill="1" applyBorder="1" applyAlignment="1">
      <alignment horizontal="right"/>
    </xf>
    <xf numFmtId="3" fontId="19" fillId="0" borderId="116" xfId="0" applyNumberFormat="1" applyFont="1" applyFill="1" applyBorder="1" applyAlignment="1">
      <alignment horizontal="right"/>
    </xf>
    <xf numFmtId="3" fontId="19" fillId="0" borderId="109" xfId="0" applyNumberFormat="1" applyFont="1" applyFill="1" applyBorder="1" applyAlignment="1">
      <alignment horizontal="right"/>
    </xf>
    <xf numFmtId="0" fontId="7" fillId="0" borderId="108" xfId="0" applyFont="1" applyFill="1" applyBorder="1" applyAlignment="1">
      <alignment horizontal="right"/>
    </xf>
    <xf numFmtId="0" fontId="0" fillId="0" borderId="108" xfId="0" applyFill="1" applyBorder="1" applyAlignment="1">
      <alignment horizontal="right"/>
    </xf>
    <xf numFmtId="3" fontId="28" fillId="0" borderId="114" xfId="0" applyNumberFormat="1" applyFont="1" applyFill="1" applyBorder="1" applyAlignment="1">
      <alignment horizontal="right"/>
    </xf>
    <xf numFmtId="3" fontId="0" fillId="0" borderId="143" xfId="0" applyNumberFormat="1" applyFill="1" applyBorder="1" applyAlignment="1" applyProtection="1">
      <alignment horizontal="right"/>
      <protection locked="0"/>
    </xf>
    <xf numFmtId="3" fontId="0" fillId="0" borderId="96" xfId="0" applyNumberFormat="1" applyFill="1" applyBorder="1" applyAlignment="1" applyProtection="1">
      <alignment horizontal="right"/>
      <protection locked="0"/>
    </xf>
    <xf numFmtId="0" fontId="0" fillId="0" borderId="96" xfId="0" applyFill="1" applyBorder="1" applyAlignment="1">
      <alignment horizontal="right"/>
    </xf>
    <xf numFmtId="3" fontId="0" fillId="0" borderId="120" xfId="0" applyNumberFormat="1" applyFill="1" applyBorder="1" applyAlignment="1" applyProtection="1">
      <alignment horizontal="right"/>
      <protection locked="0"/>
    </xf>
    <xf numFmtId="3" fontId="19" fillId="0" borderId="134" xfId="0" applyNumberFormat="1" applyFont="1" applyFill="1" applyBorder="1" applyAlignment="1">
      <alignment horizontal="right"/>
    </xf>
    <xf numFmtId="0" fontId="25" fillId="0" borderId="96" xfId="0" applyFont="1" applyFill="1" applyBorder="1" applyAlignment="1">
      <alignment horizontal="left" indent="1"/>
    </xf>
    <xf numFmtId="3" fontId="0" fillId="0" borderId="97" xfId="0" applyNumberFormat="1" applyFont="1" applyFill="1" applyBorder="1" applyAlignment="1">
      <alignment horizontal="right"/>
    </xf>
    <xf numFmtId="3" fontId="26" fillId="0" borderId="114" xfId="0" applyNumberFormat="1" applyFont="1" applyFill="1" applyBorder="1" applyAlignment="1" applyProtection="1">
      <alignment horizontal="right"/>
      <protection locked="0"/>
    </xf>
    <xf numFmtId="3" fontId="26" fillId="0" borderId="97" xfId="0" applyNumberFormat="1" applyFont="1" applyFill="1" applyBorder="1" applyAlignment="1" applyProtection="1">
      <alignment horizontal="right"/>
      <protection locked="0"/>
    </xf>
    <xf numFmtId="3" fontId="0" fillId="0" borderId="129" xfId="0" applyNumberFormat="1" applyFill="1" applyBorder="1" applyAlignment="1" applyProtection="1">
      <alignment horizontal="right"/>
      <protection locked="0"/>
    </xf>
    <xf numFmtId="3" fontId="0" fillId="0" borderId="84" xfId="0" applyNumberFormat="1" applyFill="1" applyBorder="1" applyAlignment="1" applyProtection="1">
      <alignment horizontal="right"/>
      <protection locked="0"/>
    </xf>
    <xf numFmtId="3" fontId="0" fillId="0" borderId="136" xfId="0" applyNumberFormat="1" applyFill="1" applyBorder="1" applyAlignment="1" applyProtection="1">
      <alignment horizontal="right"/>
      <protection locked="0"/>
    </xf>
    <xf numFmtId="3" fontId="27" fillId="0" borderId="143" xfId="0" applyNumberFormat="1" applyFont="1" applyFill="1" applyBorder="1" applyAlignment="1">
      <alignment horizontal="right"/>
    </xf>
    <xf numFmtId="166" fontId="27" fillId="0" borderId="136" xfId="0" applyNumberFormat="1" applyFont="1" applyFill="1" applyBorder="1" applyAlignment="1">
      <alignment horizontal="right"/>
    </xf>
    <xf numFmtId="166" fontId="26" fillId="0" borderId="136" xfId="0" applyNumberFormat="1" applyFont="1" applyFill="1" applyBorder="1" applyAlignment="1">
      <alignment horizontal="right"/>
    </xf>
    <xf numFmtId="166" fontId="26" fillId="0" borderId="97" xfId="0" applyNumberFormat="1" applyFont="1" applyFill="1" applyBorder="1" applyAlignment="1">
      <alignment horizontal="right"/>
    </xf>
    <xf numFmtId="3" fontId="26" fillId="0" borderId="105" xfId="0" applyNumberFormat="1" applyFont="1" applyFill="1" applyBorder="1" applyAlignment="1" applyProtection="1">
      <alignment horizontal="right"/>
      <protection locked="0"/>
    </xf>
    <xf numFmtId="166" fontId="26" fillId="0" borderId="105" xfId="0" applyNumberFormat="1" applyFont="1" applyFill="1" applyBorder="1" applyAlignment="1" applyProtection="1">
      <alignment horizontal="right"/>
      <protection locked="0"/>
    </xf>
    <xf numFmtId="3" fontId="26" fillId="0" borderId="98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ill="1" applyBorder="1" applyAlignment="1" applyProtection="1">
      <alignment horizontal="right"/>
      <protection locked="0"/>
    </xf>
    <xf numFmtId="3" fontId="0" fillId="0" borderId="128" xfId="0" applyNumberFormat="1" applyFill="1" applyBorder="1" applyAlignment="1" applyProtection="1">
      <alignment horizontal="right"/>
      <protection locked="0"/>
    </xf>
    <xf numFmtId="3" fontId="27" fillId="0" borderId="128" xfId="0" applyNumberFormat="1" applyFont="1" applyFill="1" applyBorder="1" applyAlignment="1">
      <alignment horizontal="right"/>
    </xf>
    <xf numFmtId="166" fontId="27" fillId="0" borderId="128" xfId="0" applyNumberFormat="1" applyFont="1" applyFill="1" applyBorder="1" applyAlignment="1">
      <alignment horizontal="right"/>
    </xf>
    <xf numFmtId="166" fontId="26" fillId="0" borderId="128" xfId="0" applyNumberFormat="1" applyFont="1" applyFill="1" applyBorder="1" applyAlignment="1">
      <alignment horizontal="right"/>
    </xf>
    <xf numFmtId="166" fontId="26" fillId="0" borderId="98" xfId="0" applyNumberFormat="1" applyFont="1" applyFill="1" applyBorder="1" applyAlignment="1">
      <alignment horizontal="right"/>
    </xf>
    <xf numFmtId="3" fontId="0" fillId="0" borderId="116" xfId="0" applyNumberFormat="1" applyFont="1" applyFill="1" applyBorder="1" applyAlignment="1">
      <alignment horizontal="right"/>
    </xf>
    <xf numFmtId="3" fontId="26" fillId="0" borderId="121" xfId="0" applyNumberFormat="1" applyFont="1" applyFill="1" applyBorder="1" applyAlignment="1" applyProtection="1">
      <alignment horizontal="right"/>
      <protection locked="0"/>
    </xf>
    <xf numFmtId="3" fontId="26" fillId="0" borderId="116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ill="1" applyBorder="1" applyAlignment="1" applyProtection="1">
      <alignment horizontal="right"/>
      <protection locked="0"/>
    </xf>
    <xf numFmtId="3" fontId="0" fillId="0" borderId="124" xfId="0" applyNumberFormat="1" applyFill="1" applyBorder="1" applyAlignment="1" applyProtection="1">
      <alignment horizontal="right"/>
      <protection locked="0"/>
    </xf>
    <xf numFmtId="3" fontId="27" fillId="0" borderId="134" xfId="0" applyNumberFormat="1" applyFont="1" applyFill="1" applyBorder="1" applyAlignment="1">
      <alignment horizontal="right"/>
    </xf>
    <xf numFmtId="166" fontId="27" fillId="0" borderId="124" xfId="0" applyNumberFormat="1" applyFont="1" applyFill="1" applyBorder="1" applyAlignment="1">
      <alignment horizontal="right"/>
    </xf>
    <xf numFmtId="166" fontId="26" fillId="0" borderId="124" xfId="0" applyNumberFormat="1" applyFont="1" applyFill="1" applyBorder="1" applyAlignment="1">
      <alignment horizontal="right"/>
    </xf>
    <xf numFmtId="166" fontId="26" fillId="0" borderId="99" xfId="0" applyNumberFormat="1" applyFont="1" applyFill="1" applyBorder="1" applyAlignment="1">
      <alignment horizontal="right"/>
    </xf>
    <xf numFmtId="3" fontId="26" fillId="0" borderId="104" xfId="0" applyNumberFormat="1" applyFont="1" applyFill="1" applyBorder="1" applyAlignment="1" applyProtection="1">
      <alignment horizontal="right"/>
      <protection locked="0"/>
    </xf>
    <xf numFmtId="166" fontId="26" fillId="0" borderId="104" xfId="0" applyNumberFormat="1" applyFont="1" applyFill="1" applyBorder="1" applyAlignment="1" applyProtection="1">
      <alignment horizontal="right"/>
      <protection locked="0"/>
    </xf>
    <xf numFmtId="3" fontId="0" fillId="0" borderId="114" xfId="0" applyNumberFormat="1" applyFill="1" applyBorder="1" applyAlignment="1" applyProtection="1">
      <alignment horizontal="right"/>
      <protection locked="0"/>
    </xf>
    <xf numFmtId="3" fontId="0" fillId="0" borderId="51" xfId="0" applyNumberFormat="1" applyFill="1" applyBorder="1" applyAlignment="1" applyProtection="1">
      <alignment horizontal="right"/>
      <protection locked="0"/>
    </xf>
    <xf numFmtId="3" fontId="27" fillId="0" borderId="136" xfId="0" applyNumberFormat="1" applyFont="1" applyFill="1" applyBorder="1" applyAlignment="1">
      <alignment horizontal="right"/>
    </xf>
    <xf numFmtId="166" fontId="26" fillId="0" borderId="143" xfId="0" applyNumberFormat="1" applyFont="1" applyFill="1" applyBorder="1" applyAlignment="1">
      <alignment horizontal="right"/>
    </xf>
    <xf numFmtId="166" fontId="26" fillId="0" borderId="96" xfId="0" applyNumberFormat="1" applyFont="1" applyFill="1" applyBorder="1" applyAlignment="1">
      <alignment horizontal="right"/>
    </xf>
    <xf numFmtId="3" fontId="0" fillId="0" borderId="105" xfId="0" applyNumberFormat="1" applyFill="1" applyBorder="1" applyAlignment="1" applyProtection="1">
      <alignment horizontal="right"/>
      <protection locked="0"/>
    </xf>
    <xf numFmtId="3" fontId="26" fillId="0" borderId="106" xfId="0" applyNumberFormat="1" applyFont="1" applyFill="1" applyBorder="1" applyAlignment="1" applyProtection="1">
      <alignment horizontal="right"/>
      <protection locked="0"/>
    </xf>
    <xf numFmtId="166" fontId="26" fillId="0" borderId="106" xfId="0" applyNumberFormat="1" applyFont="1" applyFill="1" applyBorder="1" applyAlignment="1" applyProtection="1">
      <alignment horizontal="right"/>
      <protection locked="0"/>
    </xf>
    <xf numFmtId="3" fontId="26" fillId="0" borderId="107" xfId="0" applyNumberFormat="1" applyFont="1" applyFill="1" applyBorder="1" applyAlignment="1" applyProtection="1">
      <alignment horizontal="right"/>
      <protection locked="0"/>
    </xf>
    <xf numFmtId="3" fontId="0" fillId="0" borderId="121" xfId="0" applyNumberFormat="1" applyFill="1" applyBorder="1" applyAlignment="1" applyProtection="1">
      <alignment horizontal="right"/>
      <protection locked="0"/>
    </xf>
    <xf numFmtId="3" fontId="27" fillId="0" borderId="124" xfId="0" applyNumberFormat="1" applyFont="1" applyFill="1" applyBorder="1" applyAlignment="1">
      <alignment horizontal="right"/>
    </xf>
    <xf numFmtId="166" fontId="26" fillId="0" borderId="134" xfId="0" applyNumberFormat="1" applyFont="1" applyFill="1" applyBorder="1" applyAlignment="1">
      <alignment horizontal="right"/>
    </xf>
    <xf numFmtId="166" fontId="26" fillId="0" borderId="100" xfId="0" applyNumberFormat="1" applyFont="1" applyFill="1" applyBorder="1" applyAlignment="1">
      <alignment horizontal="right"/>
    </xf>
    <xf numFmtId="0" fontId="29" fillId="0" borderId="110" xfId="0" applyFont="1" applyFill="1" applyBorder="1" applyAlignment="1">
      <alignment horizontal="left" indent="1"/>
    </xf>
    <xf numFmtId="3" fontId="27" fillId="0" borderId="108" xfId="0" applyNumberFormat="1" applyFont="1" applyFill="1" applyBorder="1" applyAlignment="1">
      <alignment horizontal="right"/>
    </xf>
    <xf numFmtId="3" fontId="27" fillId="0" borderId="110" xfId="0" applyNumberFormat="1" applyFont="1" applyFill="1" applyBorder="1" applyAlignment="1">
      <alignment horizontal="right"/>
    </xf>
    <xf numFmtId="3" fontId="27" fillId="0" borderId="110" xfId="0" applyNumberFormat="1" applyFont="1" applyFill="1" applyBorder="1" applyAlignment="1" applyProtection="1">
      <alignment horizontal="right"/>
      <protection/>
    </xf>
    <xf numFmtId="166" fontId="27" fillId="0" borderId="110" xfId="0" applyNumberFormat="1" applyFont="1" applyFill="1" applyBorder="1" applyAlignment="1" applyProtection="1">
      <alignment horizontal="right"/>
      <protection/>
    </xf>
    <xf numFmtId="3" fontId="27" fillId="0" borderId="102" xfId="0" applyNumberFormat="1" applyFont="1" applyFill="1" applyBorder="1" applyAlignment="1">
      <alignment horizontal="right"/>
    </xf>
    <xf numFmtId="3" fontId="27" fillId="0" borderId="116" xfId="0" applyNumberFormat="1" applyFont="1" applyFill="1" applyBorder="1" applyAlignment="1">
      <alignment horizontal="right"/>
    </xf>
    <xf numFmtId="3" fontId="7" fillId="0" borderId="93" xfId="0" applyNumberFormat="1" applyFont="1" applyFill="1" applyBorder="1" applyAlignment="1" applyProtection="1">
      <alignment horizontal="right"/>
      <protection locked="0"/>
    </xf>
    <xf numFmtId="166" fontId="27" fillId="0" borderId="108" xfId="0" applyNumberFormat="1" applyFont="1" applyFill="1" applyBorder="1" applyAlignment="1">
      <alignment horizontal="right"/>
    </xf>
    <xf numFmtId="3" fontId="0" fillId="0" borderId="96" xfId="0" applyNumberFormat="1" applyFill="1" applyBorder="1" applyAlignment="1">
      <alignment horizontal="right"/>
    </xf>
    <xf numFmtId="3" fontId="0" fillId="0" borderId="98" xfId="0" applyNumberFormat="1" applyFill="1" applyBorder="1" applyAlignment="1">
      <alignment horizontal="right"/>
    </xf>
    <xf numFmtId="3" fontId="0" fillId="0" borderId="95" xfId="0" applyNumberFormat="1" applyFill="1" applyBorder="1" applyAlignment="1">
      <alignment horizontal="right"/>
    </xf>
    <xf numFmtId="3" fontId="26" fillId="0" borderId="95" xfId="0" applyNumberFormat="1" applyFont="1" applyFill="1" applyBorder="1" applyAlignment="1" applyProtection="1">
      <alignment horizontal="right"/>
      <protection locked="0"/>
    </xf>
    <xf numFmtId="3" fontId="27" fillId="0" borderId="111" xfId="0" applyNumberFormat="1" applyFont="1" applyFill="1" applyBorder="1" applyAlignment="1">
      <alignment horizontal="right"/>
    </xf>
    <xf numFmtId="3" fontId="0" fillId="0" borderId="107" xfId="0" applyNumberFormat="1" applyFill="1" applyBorder="1" applyAlignment="1">
      <alignment horizontal="right"/>
    </xf>
    <xf numFmtId="3" fontId="27" fillId="0" borderId="102" xfId="0" applyNumberFormat="1" applyFont="1" applyFill="1" applyBorder="1" applyAlignment="1" applyProtection="1">
      <alignment horizontal="right"/>
      <protection locked="0"/>
    </xf>
    <xf numFmtId="166" fontId="27" fillId="0" borderId="102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 horizontal="right"/>
    </xf>
    <xf numFmtId="0" fontId="0" fillId="0" borderId="95" xfId="0" applyFill="1" applyBorder="1" applyAlignment="1">
      <alignment horizontal="right"/>
    </xf>
    <xf numFmtId="0" fontId="29" fillId="0" borderId="112" xfId="0" applyFont="1" applyFill="1" applyBorder="1" applyAlignment="1">
      <alignment horizontal="left" indent="1"/>
    </xf>
    <xf numFmtId="166" fontId="27" fillId="0" borderId="110" xfId="0" applyNumberFormat="1" applyFont="1" applyFill="1" applyBorder="1" applyAlignment="1">
      <alignment horizontal="right"/>
    </xf>
    <xf numFmtId="3" fontId="27" fillId="0" borderId="97" xfId="0" applyNumberFormat="1" applyFont="1" applyFill="1" applyBorder="1" applyAlignment="1">
      <alignment horizontal="right"/>
    </xf>
    <xf numFmtId="3" fontId="27" fillId="0" borderId="98" xfId="0" applyNumberFormat="1" applyFont="1" applyFill="1" applyBorder="1" applyAlignment="1">
      <alignment horizontal="right"/>
    </xf>
    <xf numFmtId="0" fontId="29" fillId="0" borderId="102" xfId="0" applyFont="1" applyFill="1" applyBorder="1" applyAlignment="1">
      <alignment horizontal="left" indent="1"/>
    </xf>
    <xf numFmtId="3" fontId="27" fillId="0" borderId="99" xfId="0" applyNumberFormat="1" applyFont="1" applyFill="1" applyBorder="1" applyAlignment="1">
      <alignment horizontal="right"/>
    </xf>
    <xf numFmtId="0" fontId="71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3" fontId="28" fillId="0" borderId="143" xfId="0" applyNumberFormat="1" applyFont="1" applyFill="1" applyBorder="1" applyAlignment="1">
      <alignment horizontal="right"/>
    </xf>
    <xf numFmtId="3" fontId="28" fillId="0" borderId="13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1"/>
    </xf>
    <xf numFmtId="0" fontId="25" fillId="0" borderId="108" xfId="0" applyFont="1" applyFill="1" applyBorder="1" applyAlignment="1">
      <alignment horizontal="left" vertical="center" indent="1"/>
    </xf>
    <xf numFmtId="3" fontId="19" fillId="0" borderId="108" xfId="0" applyNumberFormat="1" applyFont="1" applyFill="1" applyBorder="1" applyAlignment="1">
      <alignment horizontal="center"/>
    </xf>
    <xf numFmtId="3" fontId="19" fillId="0" borderId="92" xfId="0" applyNumberFormat="1" applyFont="1" applyFill="1" applyBorder="1" applyAlignment="1">
      <alignment horizontal="center"/>
    </xf>
    <xf numFmtId="166" fontId="19" fillId="0" borderId="113" xfId="0" applyNumberFormat="1" applyFont="1" applyFill="1" applyBorder="1" applyAlignment="1">
      <alignment horizontal="center"/>
    </xf>
    <xf numFmtId="3" fontId="7" fillId="0" borderId="94" xfId="0" applyNumberFormat="1" applyFont="1" applyFill="1" applyBorder="1" applyAlignment="1">
      <alignment horizontal="center"/>
    </xf>
    <xf numFmtId="166" fontId="19" fillId="0" borderId="101" xfId="0" applyNumberFormat="1" applyFont="1" applyFill="1" applyBorder="1" applyAlignment="1">
      <alignment horizontal="center" shrinkToFit="1"/>
    </xf>
    <xf numFmtId="3" fontId="7" fillId="0" borderId="95" xfId="0" applyNumberFormat="1" applyFont="1" applyFill="1" applyBorder="1" applyAlignment="1">
      <alignment horizontal="center"/>
    </xf>
    <xf numFmtId="3" fontId="7" fillId="0" borderId="116" xfId="0" applyNumberFormat="1" applyFont="1" applyFill="1" applyBorder="1" applyAlignment="1">
      <alignment horizontal="center"/>
    </xf>
    <xf numFmtId="3" fontId="0" fillId="0" borderId="92" xfId="0" applyNumberFormat="1" applyFill="1" applyBorder="1" applyAlignment="1">
      <alignment horizontal="right"/>
    </xf>
    <xf numFmtId="3" fontId="28" fillId="0" borderId="112" xfId="0" applyNumberFormat="1" applyFont="1" applyFill="1" applyBorder="1" applyAlignment="1">
      <alignment horizontal="right"/>
    </xf>
    <xf numFmtId="3" fontId="0" fillId="0" borderId="66" xfId="0" applyNumberFormat="1" applyFill="1" applyBorder="1" applyAlignment="1" applyProtection="1">
      <alignment horizontal="right"/>
      <protection locked="0"/>
    </xf>
    <xf numFmtId="3" fontId="0" fillId="0" borderId="93" xfId="0" applyNumberFormat="1" applyFill="1" applyBorder="1" applyAlignment="1" applyProtection="1">
      <alignment horizontal="right"/>
      <protection locked="0"/>
    </xf>
    <xf numFmtId="3" fontId="19" fillId="0" borderId="95" xfId="0" applyNumberFormat="1" applyFont="1" applyFill="1" applyBorder="1" applyAlignment="1">
      <alignment horizontal="right"/>
    </xf>
    <xf numFmtId="166" fontId="19" fillId="0" borderId="12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97" xfId="0" applyNumberFormat="1" applyFill="1" applyBorder="1" applyAlignment="1">
      <alignment horizontal="right"/>
    </xf>
    <xf numFmtId="3" fontId="0" fillId="0" borderId="99" xfId="0" applyNumberFormat="1" applyFill="1" applyBorder="1" applyAlignment="1">
      <alignment horizontal="right"/>
    </xf>
    <xf numFmtId="3" fontId="0" fillId="0" borderId="73" xfId="0" applyNumberFormat="1" applyFill="1" applyBorder="1" applyAlignment="1" applyProtection="1">
      <alignment horizontal="right"/>
      <protection locked="0"/>
    </xf>
    <xf numFmtId="166" fontId="19" fillId="0" borderId="124" xfId="0" applyNumberFormat="1" applyFont="1" applyFill="1" applyBorder="1" applyAlignment="1">
      <alignment horizontal="right"/>
    </xf>
    <xf numFmtId="3" fontId="0" fillId="0" borderId="100" xfId="0" applyNumberFormat="1" applyFill="1" applyBorder="1" applyAlignment="1">
      <alignment horizontal="right"/>
    </xf>
    <xf numFmtId="166" fontId="19" fillId="0" borderId="96" xfId="0" applyNumberFormat="1" applyFont="1" applyFill="1" applyBorder="1" applyAlignment="1">
      <alignment horizontal="right"/>
    </xf>
    <xf numFmtId="166" fontId="19" fillId="0" borderId="128" xfId="0" applyNumberFormat="1" applyFont="1" applyFill="1" applyBorder="1" applyAlignment="1">
      <alignment horizontal="right"/>
    </xf>
    <xf numFmtId="166" fontId="19" fillId="0" borderId="98" xfId="0" applyNumberFormat="1" applyFont="1" applyFill="1" applyBorder="1" applyAlignment="1">
      <alignment horizontal="right"/>
    </xf>
    <xf numFmtId="3" fontId="0" fillId="0" borderId="59" xfId="0" applyNumberFormat="1" applyFill="1" applyBorder="1" applyAlignment="1" applyProtection="1">
      <alignment horizontal="right"/>
      <protection locked="0"/>
    </xf>
    <xf numFmtId="166" fontId="19" fillId="0" borderId="100" xfId="0" applyNumberFormat="1" applyFont="1" applyFill="1" applyBorder="1" applyAlignment="1">
      <alignment horizontal="right"/>
    </xf>
    <xf numFmtId="3" fontId="0" fillId="0" borderId="60" xfId="0" applyNumberFormat="1" applyFill="1" applyBorder="1" applyAlignment="1" applyProtection="1">
      <alignment horizontal="right"/>
      <protection locked="0"/>
    </xf>
    <xf numFmtId="166" fontId="19" fillId="0" borderId="108" xfId="0" applyNumberFormat="1" applyFont="1" applyFill="1" applyBorder="1" applyAlignment="1">
      <alignment horizontal="right"/>
    </xf>
    <xf numFmtId="3" fontId="19" fillId="0" borderId="61" xfId="0" applyNumberFormat="1" applyFont="1" applyFill="1" applyBorder="1" applyAlignment="1">
      <alignment horizontal="right"/>
    </xf>
    <xf numFmtId="3" fontId="0" fillId="0" borderId="108" xfId="0" applyNumberFormat="1" applyFill="1" applyBorder="1" applyAlignment="1" applyProtection="1">
      <alignment horizontal="right"/>
      <protection locked="0"/>
    </xf>
    <xf numFmtId="166" fontId="19" fillId="0" borderId="109" xfId="0" applyNumberFormat="1" applyFont="1" applyFill="1" applyBorder="1" applyAlignment="1">
      <alignment horizontal="right"/>
    </xf>
    <xf numFmtId="3" fontId="7" fillId="0" borderId="108" xfId="0" applyNumberFormat="1" applyFont="1" applyFill="1" applyBorder="1" applyAlignment="1">
      <alignment horizontal="right"/>
    </xf>
    <xf numFmtId="3" fontId="72" fillId="0" borderId="120" xfId="0" applyNumberFormat="1" applyFont="1" applyFill="1" applyBorder="1" applyAlignment="1">
      <alignment horizontal="right"/>
    </xf>
    <xf numFmtId="166" fontId="19" fillId="0" borderId="99" xfId="0" applyNumberFormat="1" applyFont="1" applyFill="1" applyBorder="1" applyAlignment="1">
      <alignment horizontal="right"/>
    </xf>
    <xf numFmtId="166" fontId="19" fillId="0" borderId="134" xfId="0" applyNumberFormat="1" applyFont="1" applyFill="1" applyBorder="1" applyAlignment="1">
      <alignment horizontal="right"/>
    </xf>
    <xf numFmtId="3" fontId="26" fillId="0" borderId="143" xfId="0" applyNumberFormat="1" applyFont="1" applyFill="1" applyBorder="1" applyAlignment="1" applyProtection="1">
      <alignment horizontal="right"/>
      <protection locked="0"/>
    </xf>
    <xf numFmtId="3" fontId="0" fillId="0" borderId="144" xfId="0" applyNumberFormat="1" applyFill="1" applyBorder="1" applyAlignment="1" applyProtection="1">
      <alignment horizontal="right"/>
      <protection locked="0"/>
    </xf>
    <xf numFmtId="3" fontId="26" fillId="0" borderId="136" xfId="0" applyNumberFormat="1" applyFont="1" applyFill="1" applyBorder="1" applyAlignment="1">
      <alignment horizontal="right"/>
    </xf>
    <xf numFmtId="3" fontId="26" fillId="0" borderId="128" xfId="0" applyNumberFormat="1" applyFont="1" applyFill="1" applyBorder="1" applyAlignment="1" applyProtection="1">
      <alignment horizontal="right"/>
      <protection locked="0"/>
    </xf>
    <xf numFmtId="166" fontId="26" fillId="0" borderId="98" xfId="0" applyNumberFormat="1" applyFont="1" applyFill="1" applyBorder="1" applyAlignment="1" applyProtection="1">
      <alignment horizontal="right"/>
      <protection locked="0"/>
    </xf>
    <xf numFmtId="3" fontId="0" fillId="0" borderId="145" xfId="0" applyNumberFormat="1" applyFill="1" applyBorder="1" applyAlignment="1" applyProtection="1">
      <alignment horizontal="right"/>
      <protection locked="0"/>
    </xf>
    <xf numFmtId="3" fontId="26" fillId="0" borderId="128" xfId="0" applyNumberFormat="1" applyFont="1" applyFill="1" applyBorder="1" applyAlignment="1">
      <alignment horizontal="right"/>
    </xf>
    <xf numFmtId="3" fontId="0" fillId="0" borderId="116" xfId="0" applyNumberFormat="1" applyFill="1" applyBorder="1" applyAlignment="1">
      <alignment horizontal="right"/>
    </xf>
    <xf numFmtId="3" fontId="26" fillId="0" borderId="124" xfId="0" applyNumberFormat="1" applyFont="1" applyFill="1" applyBorder="1" applyAlignment="1" applyProtection="1">
      <alignment horizontal="right"/>
      <protection locked="0"/>
    </xf>
    <xf numFmtId="3" fontId="26" fillId="0" borderId="102" xfId="0" applyNumberFormat="1" applyFont="1" applyFill="1" applyBorder="1" applyAlignment="1" applyProtection="1">
      <alignment horizontal="right"/>
      <protection locked="0"/>
    </xf>
    <xf numFmtId="3" fontId="0" fillId="0" borderId="58" xfId="0" applyNumberFormat="1" applyFill="1" applyBorder="1" applyAlignment="1" applyProtection="1">
      <alignment horizontal="right"/>
      <protection locked="0"/>
    </xf>
    <xf numFmtId="3" fontId="26" fillId="0" borderId="124" xfId="0" applyNumberFormat="1" applyFont="1" applyFill="1" applyBorder="1" applyAlignment="1">
      <alignment horizontal="right"/>
    </xf>
    <xf numFmtId="3" fontId="26" fillId="0" borderId="96" xfId="0" applyNumberFormat="1" applyFont="1" applyFill="1" applyBorder="1" applyAlignment="1" applyProtection="1">
      <alignment horizontal="right"/>
      <protection locked="0"/>
    </xf>
    <xf numFmtId="3" fontId="27" fillId="0" borderId="131" xfId="0" applyNumberFormat="1" applyFont="1" applyFill="1" applyBorder="1" applyAlignment="1">
      <alignment horizontal="right"/>
    </xf>
    <xf numFmtId="3" fontId="26" fillId="0" borderId="143" xfId="0" applyNumberFormat="1" applyFont="1" applyFill="1" applyBorder="1" applyAlignment="1">
      <alignment horizontal="right"/>
    </xf>
    <xf numFmtId="3" fontId="27" fillId="0" borderId="127" xfId="0" applyNumberFormat="1" applyFont="1" applyFill="1" applyBorder="1" applyAlignment="1">
      <alignment horizontal="right"/>
    </xf>
    <xf numFmtId="3" fontId="26" fillId="0" borderId="100" xfId="0" applyNumberFormat="1" applyFont="1" applyFill="1" applyBorder="1" applyAlignment="1" applyProtection="1">
      <alignment horizontal="right"/>
      <protection locked="0"/>
    </xf>
    <xf numFmtId="3" fontId="27" fillId="0" borderId="146" xfId="0" applyNumberFormat="1" applyFont="1" applyFill="1" applyBorder="1" applyAlignment="1">
      <alignment horizontal="right"/>
    </xf>
    <xf numFmtId="3" fontId="26" fillId="0" borderId="134" xfId="0" applyNumberFormat="1" applyFont="1" applyFill="1" applyBorder="1" applyAlignment="1">
      <alignment horizontal="right"/>
    </xf>
    <xf numFmtId="3" fontId="27" fillId="0" borderId="108" xfId="0" applyNumberFormat="1" applyFont="1" applyFill="1" applyBorder="1" applyAlignment="1" applyProtection="1">
      <alignment horizontal="right"/>
      <protection/>
    </xf>
    <xf numFmtId="166" fontId="27" fillId="0" borderId="108" xfId="0" applyNumberFormat="1" applyFont="1" applyFill="1" applyBorder="1" applyAlignment="1" applyProtection="1">
      <alignment horizontal="right"/>
      <protection/>
    </xf>
    <xf numFmtId="166" fontId="27" fillId="0" borderId="61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166" fontId="26" fillId="0" borderId="96" xfId="0" applyNumberFormat="1" applyFont="1" applyFill="1" applyBorder="1" applyAlignment="1" applyProtection="1">
      <alignment horizontal="right"/>
      <protection locked="0"/>
    </xf>
    <xf numFmtId="3" fontId="0" fillId="0" borderId="115" xfId="0" applyNumberFormat="1" applyFill="1" applyBorder="1" applyAlignment="1" applyProtection="1">
      <alignment horizontal="right"/>
      <protection locked="0"/>
    </xf>
    <xf numFmtId="3" fontId="27" fillId="0" borderId="96" xfId="0" applyNumberFormat="1" applyFont="1" applyFill="1" applyBorder="1" applyAlignment="1">
      <alignment horizontal="right"/>
    </xf>
    <xf numFmtId="166" fontId="26" fillId="0" borderId="100" xfId="0" applyNumberFormat="1" applyFont="1" applyFill="1" applyBorder="1" applyAlignment="1" applyProtection="1">
      <alignment horizontal="right"/>
      <protection locked="0"/>
    </xf>
    <xf numFmtId="166" fontId="27" fillId="0" borderId="116" xfId="0" applyNumberFormat="1" applyFont="1" applyFill="1" applyBorder="1" applyAlignment="1" applyProtection="1">
      <alignment horizontal="right"/>
      <protection/>
    </xf>
    <xf numFmtId="166" fontId="27" fillId="0" borderId="97" xfId="0" applyNumberFormat="1" applyFont="1" applyFill="1" applyBorder="1" applyAlignment="1">
      <alignment horizontal="right"/>
    </xf>
    <xf numFmtId="3" fontId="27" fillId="0" borderId="108" xfId="0" applyNumberFormat="1" applyFont="1" applyFill="1" applyBorder="1" applyAlignment="1" applyProtection="1">
      <alignment horizontal="right"/>
      <protection locked="0"/>
    </xf>
    <xf numFmtId="166" fontId="27" fillId="0" borderId="108" xfId="0" applyNumberFormat="1" applyFont="1" applyFill="1" applyBorder="1" applyAlignment="1" applyProtection="1">
      <alignment horizontal="right"/>
      <protection locked="0"/>
    </xf>
    <xf numFmtId="3" fontId="27" fillId="0" borderId="112" xfId="0" applyNumberFormat="1" applyFont="1" applyFill="1" applyBorder="1" applyAlignment="1">
      <alignment horizontal="right"/>
    </xf>
    <xf numFmtId="3" fontId="27" fillId="0" borderId="147" xfId="0" applyNumberFormat="1" applyFont="1" applyFill="1" applyBorder="1" applyAlignment="1">
      <alignment horizontal="right"/>
    </xf>
    <xf numFmtId="3" fontId="27" fillId="0" borderId="148" xfId="0" applyNumberFormat="1" applyFont="1" applyFill="1" applyBorder="1" applyAlignment="1">
      <alignment horizontal="right"/>
    </xf>
    <xf numFmtId="3" fontId="27" fillId="0" borderId="149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4" fillId="0" borderId="111" xfId="0" applyFont="1" applyFill="1" applyBorder="1" applyAlignment="1">
      <alignment/>
    </xf>
    <xf numFmtId="0" fontId="21" fillId="0" borderId="111" xfId="0" applyFont="1" applyFill="1" applyBorder="1" applyAlignment="1">
      <alignment horizontal="center"/>
    </xf>
    <xf numFmtId="0" fontId="14" fillId="0" borderId="109" xfId="0" applyFont="1" applyFill="1" applyBorder="1" applyAlignment="1">
      <alignment/>
    </xf>
    <xf numFmtId="3" fontId="14" fillId="0" borderId="109" xfId="0" applyNumberFormat="1" applyFont="1" applyFill="1" applyBorder="1" applyAlignment="1">
      <alignment/>
    </xf>
    <xf numFmtId="3" fontId="7" fillId="0" borderId="110" xfId="0" applyNumberFormat="1" applyFont="1" applyFill="1" applyBorder="1" applyAlignment="1">
      <alignment horizontal="center" vertical="center"/>
    </xf>
    <xf numFmtId="3" fontId="0" fillId="0" borderId="113" xfId="0" applyNumberFormat="1" applyFill="1" applyBorder="1" applyAlignment="1" applyProtection="1">
      <alignment horizontal="right"/>
      <protection locked="0"/>
    </xf>
    <xf numFmtId="3" fontId="0" fillId="0" borderId="134" xfId="0" applyNumberFormat="1" applyFill="1" applyBorder="1" applyAlignment="1" applyProtection="1">
      <alignment horizontal="right"/>
      <protection locked="0"/>
    </xf>
    <xf numFmtId="3" fontId="7" fillId="0" borderId="116" xfId="0" applyNumberFormat="1" applyFont="1" applyFill="1" applyBorder="1" applyAlignment="1" applyProtection="1">
      <alignment horizontal="right"/>
      <protection locked="0"/>
    </xf>
    <xf numFmtId="3" fontId="7" fillId="0" borderId="95" xfId="0" applyNumberFormat="1" applyFont="1" applyFill="1" applyBorder="1" applyAlignment="1" applyProtection="1">
      <alignment horizontal="right"/>
      <protection locked="0"/>
    </xf>
    <xf numFmtId="166" fontId="19" fillId="0" borderId="113" xfId="0" applyNumberFormat="1" applyFont="1" applyFill="1" applyBorder="1" applyAlignment="1">
      <alignment horizontal="right"/>
    </xf>
    <xf numFmtId="166" fontId="28" fillId="0" borderId="98" xfId="0" applyNumberFormat="1" applyFont="1" applyFill="1" applyBorder="1" applyAlignment="1">
      <alignment horizontal="right"/>
    </xf>
    <xf numFmtId="166" fontId="28" fillId="0" borderId="99" xfId="0" applyNumberFormat="1" applyFont="1" applyFill="1" applyBorder="1" applyAlignment="1">
      <alignment horizontal="right"/>
    </xf>
    <xf numFmtId="3" fontId="0" fillId="0" borderId="114" xfId="0" applyNumberFormat="1" applyFont="1" applyFill="1" applyBorder="1" applyAlignment="1" applyProtection="1">
      <alignment horizontal="right"/>
      <protection locked="0"/>
    </xf>
    <xf numFmtId="3" fontId="27" fillId="0" borderId="66" xfId="0" applyNumberFormat="1" applyFont="1" applyFill="1" applyBorder="1" applyAlignment="1">
      <alignment horizontal="right"/>
    </xf>
    <xf numFmtId="166" fontId="27" fillId="0" borderId="84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 applyProtection="1">
      <alignment horizontal="right"/>
      <protection locked="0"/>
    </xf>
    <xf numFmtId="3" fontId="27" fillId="0" borderId="59" xfId="0" applyNumberFormat="1" applyFont="1" applyFill="1" applyBorder="1" applyAlignment="1">
      <alignment horizontal="right"/>
    </xf>
    <xf numFmtId="166" fontId="27" fillId="0" borderId="52" xfId="0" applyNumberFormat="1" applyFont="1" applyFill="1" applyBorder="1" applyAlignment="1">
      <alignment horizontal="right"/>
    </xf>
    <xf numFmtId="3" fontId="26" fillId="0" borderId="99" xfId="0" applyNumberFormat="1" applyFont="1" applyFill="1" applyBorder="1" applyAlignment="1" applyProtection="1">
      <alignment horizontal="right"/>
      <protection locked="0"/>
    </xf>
    <xf numFmtId="3" fontId="0" fillId="0" borderId="102" xfId="0" applyNumberFormat="1" applyFont="1" applyFill="1" applyBorder="1" applyAlignment="1" applyProtection="1">
      <alignment horizontal="right"/>
      <protection locked="0"/>
    </xf>
    <xf numFmtId="3" fontId="27" fillId="0" borderId="73" xfId="0" applyNumberFormat="1" applyFont="1" applyFill="1" applyBorder="1" applyAlignment="1">
      <alignment horizontal="right"/>
    </xf>
    <xf numFmtId="166" fontId="27" fillId="0" borderId="53" xfId="0" applyNumberFormat="1" applyFont="1" applyFill="1" applyBorder="1" applyAlignment="1">
      <alignment horizontal="right"/>
    </xf>
    <xf numFmtId="166" fontId="27" fillId="0" borderId="143" xfId="0" applyNumberFormat="1" applyFont="1" applyFill="1" applyBorder="1" applyAlignment="1">
      <alignment horizontal="right"/>
    </xf>
    <xf numFmtId="3" fontId="0" fillId="0" borderId="109" xfId="0" applyNumberFormat="1" applyFill="1" applyBorder="1" applyAlignment="1" applyProtection="1">
      <alignment horizontal="right"/>
      <protection locked="0"/>
    </xf>
    <xf numFmtId="0" fontId="0" fillId="0" borderId="99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7" fillId="0" borderId="84" xfId="0" applyNumberFormat="1" applyFont="1" applyFill="1" applyBorder="1" applyAlignment="1">
      <alignment horizontal="right"/>
    </xf>
    <xf numFmtId="3" fontId="0" fillId="0" borderId="104" xfId="0" applyNumberFormat="1" applyFill="1" applyBorder="1" applyAlignment="1" applyProtection="1">
      <alignment horizontal="right"/>
      <protection locked="0"/>
    </xf>
    <xf numFmtId="3" fontId="27" fillId="0" borderId="52" xfId="0" applyNumberFormat="1" applyFont="1" applyFill="1" applyBorder="1" applyAlignment="1">
      <alignment horizontal="right"/>
    </xf>
    <xf numFmtId="3" fontId="0" fillId="0" borderId="102" xfId="0" applyNumberFormat="1" applyFill="1" applyBorder="1" applyAlignment="1" applyProtection="1">
      <alignment horizontal="right"/>
      <protection locked="0"/>
    </xf>
    <xf numFmtId="3" fontId="27" fillId="0" borderId="53" xfId="0" applyNumberFormat="1" applyFont="1" applyFill="1" applyBorder="1" applyAlignment="1">
      <alignment horizontal="right"/>
    </xf>
    <xf numFmtId="3" fontId="73" fillId="0" borderId="98" xfId="0" applyNumberFormat="1" applyFont="1" applyFill="1" applyBorder="1" applyAlignment="1">
      <alignment horizontal="right"/>
    </xf>
    <xf numFmtId="3" fontId="7" fillId="0" borderId="111" xfId="0" applyNumberFormat="1" applyFont="1" applyFill="1" applyBorder="1" applyAlignment="1" applyProtection="1">
      <alignment horizontal="right"/>
      <protection locked="0"/>
    </xf>
    <xf numFmtId="3" fontId="27" fillId="0" borderId="61" xfId="0" applyNumberFormat="1" applyFont="1" applyFill="1" applyBorder="1" applyAlignment="1">
      <alignment horizontal="right"/>
    </xf>
    <xf numFmtId="166" fontId="27" fillId="0" borderId="61" xfId="0" applyNumberFormat="1" applyFont="1" applyFill="1" applyBorder="1" applyAlignment="1">
      <alignment horizontal="right"/>
    </xf>
    <xf numFmtId="3" fontId="27" fillId="0" borderId="104" xfId="0" applyNumberFormat="1" applyFont="1" applyFill="1" applyBorder="1" applyAlignment="1">
      <alignment horizontal="right"/>
    </xf>
    <xf numFmtId="166" fontId="27" fillId="0" borderId="96" xfId="0" applyNumberFormat="1" applyFont="1" applyFill="1" applyBorder="1" applyAlignment="1">
      <alignment horizontal="right"/>
    </xf>
    <xf numFmtId="3" fontId="27" fillId="0" borderId="114" xfId="0" applyNumberFormat="1" applyFont="1" applyFill="1" applyBorder="1" applyAlignment="1">
      <alignment horizontal="right"/>
    </xf>
    <xf numFmtId="166" fontId="28" fillId="0" borderId="113" xfId="0" applyNumberFormat="1" applyFont="1" applyFill="1" applyBorder="1" applyAlignment="1">
      <alignment horizontal="right"/>
    </xf>
    <xf numFmtId="166" fontId="28" fillId="0" borderId="124" xfId="0" applyNumberFormat="1" applyFont="1" applyFill="1" applyBorder="1" applyAlignment="1">
      <alignment horizontal="right"/>
    </xf>
    <xf numFmtId="3" fontId="0" fillId="0" borderId="100" xfId="0" applyNumberFormat="1" applyFont="1" applyFill="1" applyBorder="1" applyAlignment="1">
      <alignment horizontal="right"/>
    </xf>
    <xf numFmtId="166" fontId="27" fillId="0" borderId="90" xfId="0" applyNumberFormat="1" applyFont="1" applyFill="1" applyBorder="1" applyAlignment="1">
      <alignment horizontal="right"/>
    </xf>
    <xf numFmtId="166" fontId="27" fillId="0" borderId="78" xfId="0" applyNumberFormat="1" applyFont="1" applyFill="1" applyBorder="1" applyAlignment="1">
      <alignment horizontal="right"/>
    </xf>
    <xf numFmtId="3" fontId="27" fillId="0" borderId="55" xfId="0" applyNumberFormat="1" applyFont="1" applyFill="1" applyBorder="1" applyAlignment="1">
      <alignment horizontal="right"/>
    </xf>
    <xf numFmtId="166" fontId="27" fillId="0" borderId="83" xfId="0" applyNumberFormat="1" applyFont="1" applyFill="1" applyBorder="1" applyAlignment="1">
      <alignment horizontal="right"/>
    </xf>
    <xf numFmtId="3" fontId="73" fillId="0" borderId="100" xfId="0" applyNumberFormat="1" applyFont="1" applyFill="1" applyBorder="1" applyAlignment="1">
      <alignment horizontal="right"/>
    </xf>
    <xf numFmtId="166" fontId="27" fillId="0" borderId="95" xfId="0" applyNumberFormat="1" applyFont="1" applyFill="1" applyBorder="1" applyAlignment="1" applyProtection="1">
      <alignment horizontal="right"/>
      <protection/>
    </xf>
    <xf numFmtId="3" fontId="0" fillId="0" borderId="111" xfId="0" applyNumberFormat="1" applyFill="1" applyBorder="1" applyAlignment="1" applyProtection="1">
      <alignment horizontal="right"/>
      <protection locked="0"/>
    </xf>
    <xf numFmtId="3" fontId="27" fillId="0" borderId="51" xfId="0" applyNumberFormat="1" applyFont="1" applyFill="1" applyBorder="1" applyAlignment="1">
      <alignment horizontal="right"/>
    </xf>
    <xf numFmtId="166" fontId="27" fillId="0" borderId="76" xfId="0" applyNumberFormat="1" applyFont="1" applyFill="1" applyBorder="1" applyAlignment="1">
      <alignment horizontal="right"/>
    </xf>
    <xf numFmtId="3" fontId="27" fillId="0" borderId="150" xfId="0" applyNumberFormat="1" applyFont="1" applyFill="1" applyBorder="1" applyAlignment="1">
      <alignment horizontal="right"/>
    </xf>
    <xf numFmtId="0" fontId="7" fillId="0" borderId="92" xfId="0" applyFont="1" applyFill="1" applyBorder="1" applyAlignment="1">
      <alignment horizontal="center" vertical="center"/>
    </xf>
    <xf numFmtId="3" fontId="19" fillId="0" borderId="113" xfId="0" applyNumberFormat="1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 vertical="center"/>
    </xf>
    <xf numFmtId="3" fontId="7" fillId="0" borderId="110" xfId="0" applyNumberFormat="1" applyFont="1" applyFill="1" applyBorder="1" applyAlignment="1">
      <alignment horizontal="right"/>
    </xf>
    <xf numFmtId="3" fontId="7" fillId="0" borderId="108" xfId="0" applyNumberFormat="1" applyFont="1" applyFill="1" applyBorder="1" applyAlignment="1" applyProtection="1">
      <alignment horizontal="right"/>
      <protection locked="0"/>
    </xf>
    <xf numFmtId="3" fontId="7" fillId="0" borderId="92" xfId="0" applyNumberFormat="1" applyFont="1" applyFill="1" applyBorder="1" applyAlignment="1" applyProtection="1">
      <alignment horizontal="right"/>
      <protection locked="0"/>
    </xf>
    <xf numFmtId="3" fontId="0" fillId="0" borderId="106" xfId="0" applyNumberFormat="1" applyFill="1" applyBorder="1" applyAlignment="1" applyProtection="1">
      <alignment horizontal="right"/>
      <protection locked="0"/>
    </xf>
    <xf numFmtId="166" fontId="27" fillId="0" borderId="51" xfId="0" applyNumberFormat="1" applyFont="1" applyFill="1" applyBorder="1" applyAlignment="1">
      <alignment horizontal="right"/>
    </xf>
    <xf numFmtId="3" fontId="0" fillId="0" borderId="125" xfId="0" applyNumberFormat="1" applyFill="1" applyBorder="1" applyAlignment="1" applyProtection="1">
      <alignment horizontal="right" shrinkToFit="1"/>
      <protection locked="0"/>
    </xf>
    <xf numFmtId="3" fontId="27" fillId="0" borderId="52" xfId="0" applyNumberFormat="1" applyFont="1" applyFill="1" applyBorder="1" applyAlignment="1">
      <alignment horizontal="right" shrinkToFit="1"/>
    </xf>
    <xf numFmtId="166" fontId="27" fillId="0" borderId="52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left" indent="1"/>
    </xf>
    <xf numFmtId="0" fontId="23" fillId="0" borderId="111" xfId="0" applyFont="1" applyFill="1" applyBorder="1" applyAlignment="1">
      <alignment horizontal="left" indent="1"/>
    </xf>
    <xf numFmtId="0" fontId="22" fillId="0" borderId="109" xfId="0" applyFont="1" applyFill="1" applyBorder="1" applyAlignment="1">
      <alignment horizontal="left" indent="1"/>
    </xf>
    <xf numFmtId="3" fontId="22" fillId="0" borderId="109" xfId="0" applyNumberFormat="1" applyFont="1" applyFill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 indent="1"/>
    </xf>
    <xf numFmtId="3" fontId="0" fillId="0" borderId="107" xfId="0" applyNumberFormat="1" applyFill="1" applyBorder="1" applyAlignment="1" applyProtection="1">
      <alignment horizontal="right"/>
      <protection locked="0"/>
    </xf>
    <xf numFmtId="3" fontId="0" fillId="0" borderId="95" xfId="0" applyNumberFormat="1" applyFill="1" applyBorder="1" applyAlignment="1" applyProtection="1">
      <alignment horizontal="right"/>
      <protection locked="0"/>
    </xf>
    <xf numFmtId="0" fontId="0" fillId="0" borderId="51" xfId="0" applyFill="1" applyBorder="1" applyAlignment="1">
      <alignment/>
    </xf>
    <xf numFmtId="165" fontId="0" fillId="0" borderId="51" xfId="0" applyNumberForma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right"/>
    </xf>
    <xf numFmtId="3" fontId="28" fillId="0" borderId="68" xfId="0" applyNumberFormat="1" applyFont="1" applyFill="1" applyBorder="1" applyAlignment="1">
      <alignment horizontal="right"/>
    </xf>
    <xf numFmtId="3" fontId="19" fillId="0" borderId="68" xfId="0" applyNumberFormat="1" applyFont="1" applyFill="1" applyBorder="1" applyAlignment="1">
      <alignment horizontal="right"/>
    </xf>
    <xf numFmtId="165" fontId="0" fillId="0" borderId="53" xfId="0" applyNumberFormat="1" applyFill="1" applyBorder="1" applyAlignment="1">
      <alignment/>
    </xf>
    <xf numFmtId="165" fontId="0" fillId="0" borderId="74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right"/>
    </xf>
    <xf numFmtId="3" fontId="28" fillId="0" borderId="76" xfId="0" applyNumberFormat="1" applyFont="1" applyFill="1" applyBorder="1" applyAlignment="1">
      <alignment horizontal="right"/>
    </xf>
    <xf numFmtId="3" fontId="19" fillId="0" borderId="76" xfId="0" applyNumberFormat="1" applyFont="1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right"/>
    </xf>
    <xf numFmtId="3" fontId="28" fillId="0" borderId="78" xfId="0" applyNumberFormat="1" applyFont="1" applyFill="1" applyBorder="1" applyAlignment="1">
      <alignment horizontal="right"/>
    </xf>
    <xf numFmtId="3" fontId="19" fillId="0" borderId="78" xfId="0" applyNumberFormat="1" applyFont="1" applyFill="1" applyBorder="1" applyAlignment="1">
      <alignment horizontal="right"/>
    </xf>
    <xf numFmtId="0" fontId="0" fillId="0" borderId="5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3" fontId="0" fillId="0" borderId="55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right"/>
    </xf>
    <xf numFmtId="3" fontId="28" fillId="0" borderId="72" xfId="0" applyNumberFormat="1" applyFont="1" applyFill="1" applyBorder="1" applyAlignment="1">
      <alignment horizontal="right"/>
    </xf>
    <xf numFmtId="3" fontId="19" fillId="0" borderId="72" xfId="0" applyNumberFormat="1" applyFont="1" applyFill="1" applyBorder="1" applyAlignment="1">
      <alignment horizontal="right"/>
    </xf>
    <xf numFmtId="0" fontId="19" fillId="0" borderId="61" xfId="0" applyFont="1" applyFill="1" applyBorder="1" applyAlignment="1">
      <alignment horizontal="center"/>
    </xf>
    <xf numFmtId="3" fontId="19" fillId="0" borderId="62" xfId="0" applyNumberFormat="1" applyFont="1" applyFill="1" applyBorder="1" applyAlignment="1">
      <alignment horizontal="center"/>
    </xf>
    <xf numFmtId="3" fontId="7" fillId="0" borderId="61" xfId="0" applyNumberFormat="1" applyFont="1" applyFill="1" applyBorder="1" applyAlignment="1">
      <alignment horizontal="right"/>
    </xf>
    <xf numFmtId="0" fontId="0" fillId="0" borderId="53" xfId="0" applyFill="1" applyBorder="1" applyAlignment="1">
      <alignment horizontal="center"/>
    </xf>
    <xf numFmtId="3" fontId="0" fillId="0" borderId="53" xfId="0" applyNumberFormat="1" applyFill="1" applyBorder="1" applyAlignment="1">
      <alignment/>
    </xf>
    <xf numFmtId="3" fontId="0" fillId="0" borderId="73" xfId="0" applyNumberFormat="1" applyFill="1" applyBorder="1" applyAlignment="1">
      <alignment horizontal="center"/>
    </xf>
    <xf numFmtId="3" fontId="28" fillId="0" borderId="83" xfId="0" applyNumberFormat="1" applyFont="1" applyFill="1" applyBorder="1" applyAlignment="1">
      <alignment horizontal="right"/>
    </xf>
    <xf numFmtId="3" fontId="19" fillId="0" borderId="83" xfId="0" applyNumberFormat="1" applyFont="1" applyFill="1" applyBorder="1" applyAlignment="1">
      <alignment horizontal="right"/>
    </xf>
    <xf numFmtId="3" fontId="26" fillId="0" borderId="51" xfId="0" applyNumberFormat="1" applyFont="1" applyFill="1" applyBorder="1" applyAlignment="1">
      <alignment horizontal="center"/>
    </xf>
    <xf numFmtId="3" fontId="0" fillId="0" borderId="84" xfId="0" applyNumberFormat="1" applyFill="1" applyBorder="1" applyAlignment="1">
      <alignment horizontal="right"/>
    </xf>
    <xf numFmtId="3" fontId="26" fillId="0" borderId="84" xfId="0" applyNumberFormat="1" applyFont="1" applyFill="1" applyBorder="1" applyAlignment="1">
      <alignment horizontal="right"/>
    </xf>
    <xf numFmtId="3" fontId="26" fillId="0" borderId="52" xfId="0" applyNumberFormat="1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right"/>
    </xf>
    <xf numFmtId="3" fontId="26" fillId="0" borderId="53" xfId="0" applyNumberFormat="1" applyFont="1" applyFill="1" applyBorder="1" applyAlignment="1">
      <alignment horizontal="center"/>
    </xf>
    <xf numFmtId="3" fontId="0" fillId="0" borderId="54" xfId="0" applyNumberFormat="1" applyFill="1" applyBorder="1" applyAlignment="1">
      <alignment horizontal="right"/>
    </xf>
    <xf numFmtId="3" fontId="26" fillId="0" borderId="53" xfId="0" applyNumberFormat="1" applyFont="1" applyFill="1" applyBorder="1" applyAlignment="1">
      <alignment horizontal="right"/>
    </xf>
    <xf numFmtId="0" fontId="67" fillId="0" borderId="51" xfId="0" applyFont="1" applyFill="1" applyBorder="1" applyAlignment="1">
      <alignment horizontal="center"/>
    </xf>
    <xf numFmtId="3" fontId="26" fillId="0" borderId="51" xfId="0" applyNumberFormat="1" applyFont="1" applyFill="1" applyBorder="1" applyAlignment="1">
      <alignment horizontal="center"/>
    </xf>
    <xf numFmtId="3" fontId="26" fillId="0" borderId="51" xfId="0" applyNumberFormat="1" applyFont="1" applyFill="1" applyBorder="1" applyAlignment="1">
      <alignment horizontal="right"/>
    </xf>
    <xf numFmtId="0" fontId="67" fillId="0" borderId="52" xfId="0" applyFont="1" applyFill="1" applyBorder="1" applyAlignment="1">
      <alignment horizontal="center"/>
    </xf>
    <xf numFmtId="3" fontId="26" fillId="0" borderId="52" xfId="0" applyNumberFormat="1" applyFont="1" applyFill="1" applyBorder="1" applyAlignment="1">
      <alignment horizontal="center"/>
    </xf>
    <xf numFmtId="0" fontId="69" fillId="0" borderId="52" xfId="0" applyFont="1" applyFill="1" applyBorder="1" applyAlignment="1">
      <alignment horizontal="center"/>
    </xf>
    <xf numFmtId="0" fontId="67" fillId="0" borderId="55" xfId="0" applyFont="1" applyFill="1" applyBorder="1" applyAlignment="1">
      <alignment horizontal="center"/>
    </xf>
    <xf numFmtId="3" fontId="26" fillId="0" borderId="55" xfId="0" applyNumberFormat="1" applyFont="1" applyFill="1" applyBorder="1" applyAlignment="1">
      <alignment horizontal="center"/>
    </xf>
    <xf numFmtId="3" fontId="26" fillId="0" borderId="55" xfId="0" applyNumberFormat="1" applyFont="1" applyFill="1" applyBorder="1" applyAlignment="1">
      <alignment horizontal="right"/>
    </xf>
    <xf numFmtId="0" fontId="68" fillId="0" borderId="61" xfId="0" applyFont="1" applyFill="1" applyBorder="1" applyAlignment="1">
      <alignment horizontal="center"/>
    </xf>
    <xf numFmtId="3" fontId="27" fillId="0" borderId="61" xfId="0" applyNumberFormat="1" applyFont="1" applyFill="1" applyBorder="1" applyAlignment="1">
      <alignment horizontal="center"/>
    </xf>
    <xf numFmtId="3" fontId="0" fillId="0" borderId="51" xfId="0" applyNumberFormat="1" applyFill="1" applyBorder="1" applyAlignment="1">
      <alignment horizontal="right"/>
    </xf>
    <xf numFmtId="3" fontId="27" fillId="0" borderId="50" xfId="0" applyNumberFormat="1" applyFont="1" applyFill="1" applyBorder="1" applyAlignment="1">
      <alignment horizontal="center"/>
    </xf>
    <xf numFmtId="3" fontId="27" fillId="0" borderId="64" xfId="0" applyNumberFormat="1" applyFont="1" applyFill="1" applyBorder="1" applyAlignment="1">
      <alignment horizontal="right"/>
    </xf>
    <xf numFmtId="0" fontId="27" fillId="0" borderId="61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3" fontId="27" fillId="0" borderId="54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 indent="1"/>
    </xf>
    <xf numFmtId="0" fontId="21" fillId="0" borderId="63" xfId="0" applyFont="1" applyFill="1" applyBorder="1" applyAlignment="1">
      <alignment horizontal="left" indent="1"/>
    </xf>
    <xf numFmtId="0" fontId="22" fillId="0" borderId="62" xfId="0" applyFont="1" applyFill="1" applyBorder="1" applyAlignment="1">
      <alignment horizontal="left" indent="1"/>
    </xf>
    <xf numFmtId="0" fontId="23" fillId="0" borderId="62" xfId="0" applyFont="1" applyFill="1" applyBorder="1" applyAlignment="1">
      <alignment horizontal="left" indent="1"/>
    </xf>
    <xf numFmtId="0" fontId="22" fillId="0" borderId="64" xfId="0" applyFont="1" applyFill="1" applyBorder="1" applyAlignment="1">
      <alignment horizontal="left" indent="1"/>
    </xf>
    <xf numFmtId="3" fontId="22" fillId="0" borderId="64" xfId="0" applyNumberFormat="1" applyFont="1" applyFill="1" applyBorder="1" applyAlignment="1">
      <alignment horizontal="left" indent="1"/>
    </xf>
    <xf numFmtId="0" fontId="25" fillId="0" borderId="49" xfId="0" applyFont="1" applyFill="1" applyBorder="1" applyAlignment="1">
      <alignment horizontal="left" vertical="center" indent="1"/>
    </xf>
    <xf numFmtId="0" fontId="7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3" fontId="7" fillId="0" borderId="49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64" xfId="0" applyFill="1" applyBorder="1" applyAlignment="1">
      <alignment/>
    </xf>
    <xf numFmtId="3" fontId="19" fillId="0" borderId="49" xfId="0" applyNumberFormat="1" applyFont="1" applyFill="1" applyBorder="1" applyAlignment="1">
      <alignment horizontal="center"/>
    </xf>
    <xf numFmtId="166" fontId="19" fillId="0" borderId="68" xfId="0" applyNumberFormat="1" applyFont="1" applyFill="1" applyBorder="1" applyAlignment="1">
      <alignment horizontal="center"/>
    </xf>
    <xf numFmtId="3" fontId="7" fillId="0" borderId="63" xfId="0" applyNumberFormat="1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7" fillId="0" borderId="54" xfId="0" applyFont="1" applyFill="1" applyBorder="1" applyAlignment="1">
      <alignment horizontal="left" vertical="center" indent="1"/>
    </xf>
    <xf numFmtId="0" fontId="7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3" fontId="19" fillId="0" borderId="54" xfId="0" applyNumberFormat="1" applyFont="1" applyFill="1" applyBorder="1" applyAlignment="1">
      <alignment horizontal="center"/>
    </xf>
    <xf numFmtId="3" fontId="19" fillId="0" borderId="57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166" fontId="19" fillId="0" borderId="56" xfId="0" applyNumberFormat="1" applyFont="1" applyFill="1" applyBorder="1" applyAlignment="1">
      <alignment horizontal="center" shrinkToFit="1"/>
    </xf>
    <xf numFmtId="3" fontId="7" fillId="0" borderId="61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indent="1"/>
    </xf>
    <xf numFmtId="3" fontId="19" fillId="0" borderId="84" xfId="0" applyNumberFormat="1" applyFont="1" applyFill="1" applyBorder="1" applyAlignment="1">
      <alignment horizontal="right"/>
    </xf>
    <xf numFmtId="3" fontId="28" fillId="0" borderId="65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 horizontal="right"/>
      <protection locked="0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3" fontId="19" fillId="0" borderId="50" xfId="0" applyNumberFormat="1" applyFont="1" applyFill="1" applyBorder="1" applyAlignment="1">
      <alignment horizontal="right"/>
    </xf>
    <xf numFmtId="166" fontId="19" fillId="0" borderId="72" xfId="0" applyNumberFormat="1" applyFont="1" applyFill="1" applyBorder="1" applyAlignment="1">
      <alignment horizontal="right"/>
    </xf>
    <xf numFmtId="0" fontId="25" fillId="0" borderId="73" xfId="0" applyFont="1" applyFill="1" applyBorder="1" applyAlignment="1">
      <alignment horizontal="left" indent="1"/>
    </xf>
    <xf numFmtId="3" fontId="19" fillId="0" borderId="53" xfId="0" applyNumberFormat="1" applyFont="1" applyFill="1" applyBorder="1" applyAlignment="1">
      <alignment horizontal="right"/>
    </xf>
    <xf numFmtId="3" fontId="28" fillId="0" borderId="73" xfId="0" applyNumberFormat="1" applyFont="1" applyFill="1" applyBorder="1" applyAlignment="1">
      <alignment horizontal="right"/>
    </xf>
    <xf numFmtId="3" fontId="0" fillId="0" borderId="83" xfId="0" applyNumberFormat="1" applyFont="1" applyFill="1" applyBorder="1" applyAlignment="1" applyProtection="1">
      <alignment horizontal="right"/>
      <protection locked="0"/>
    </xf>
    <xf numFmtId="3" fontId="0" fillId="0" borderId="88" xfId="0" applyNumberFormat="1" applyFont="1" applyFill="1" applyBorder="1" applyAlignment="1" applyProtection="1">
      <alignment horizontal="right"/>
      <protection locked="0"/>
    </xf>
    <xf numFmtId="166" fontId="19" fillId="0" borderId="76" xfId="0" applyNumberFormat="1" applyFont="1" applyFill="1" applyBorder="1" applyAlignment="1">
      <alignment horizontal="right"/>
    </xf>
    <xf numFmtId="3" fontId="0" fillId="0" borderId="55" xfId="0" applyNumberFormat="1" applyFill="1" applyBorder="1" applyAlignment="1">
      <alignment horizontal="right"/>
    </xf>
    <xf numFmtId="0" fontId="25" fillId="0" borderId="44" xfId="0" applyFont="1" applyFill="1" applyBorder="1" applyAlignment="1">
      <alignment horizontal="left" indent="1"/>
    </xf>
    <xf numFmtId="3" fontId="19" fillId="0" borderId="51" xfId="0" applyNumberFormat="1" applyFont="1" applyFill="1" applyBorder="1" applyAlignment="1">
      <alignment horizontal="right"/>
    </xf>
    <xf numFmtId="3" fontId="28" fillId="0" borderId="44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 applyProtection="1">
      <alignment horizontal="right"/>
      <protection locked="0"/>
    </xf>
    <xf numFmtId="3" fontId="0" fillId="0" borderId="86" xfId="0" applyNumberFormat="1" applyFont="1" applyFill="1" applyBorder="1" applyAlignment="1" applyProtection="1">
      <alignment horizontal="right"/>
      <protection locked="0"/>
    </xf>
    <xf numFmtId="166" fontId="19" fillId="0" borderId="78" xfId="0" applyNumberFormat="1" applyFont="1" applyFill="1" applyBorder="1" applyAlignment="1">
      <alignment horizontal="right"/>
    </xf>
    <xf numFmtId="0" fontId="25" fillId="0" borderId="59" xfId="0" applyFont="1" applyFill="1" applyBorder="1" applyAlignment="1">
      <alignment horizontal="left" indent="1"/>
    </xf>
    <xf numFmtId="3" fontId="19" fillId="0" borderId="52" xfId="0" applyNumberFormat="1" applyFont="1" applyFill="1" applyBorder="1" applyAlignment="1">
      <alignment horizontal="right"/>
    </xf>
    <xf numFmtId="3" fontId="28" fillId="0" borderId="59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78" xfId="0" applyNumberFormat="1" applyFont="1" applyFill="1" applyBorder="1" applyAlignment="1" applyProtection="1">
      <alignment horizontal="right"/>
      <protection locked="0"/>
    </xf>
    <xf numFmtId="3" fontId="19" fillId="0" borderId="55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0" borderId="76" xfId="0" applyNumberFormat="1" applyFont="1" applyFill="1" applyBorder="1" applyAlignment="1" applyProtection="1">
      <alignment horizontal="right"/>
      <protection locked="0"/>
    </xf>
    <xf numFmtId="0" fontId="25" fillId="0" borderId="63" xfId="0" applyFont="1" applyFill="1" applyBorder="1" applyAlignment="1">
      <alignment horizontal="left" indent="1"/>
    </xf>
    <xf numFmtId="3" fontId="7" fillId="0" borderId="63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 applyProtection="1">
      <alignment horizontal="right"/>
      <protection locked="0"/>
    </xf>
    <xf numFmtId="3" fontId="19" fillId="0" borderId="64" xfId="0" applyNumberFormat="1" applyFont="1" applyFill="1" applyBorder="1" applyAlignment="1">
      <alignment horizontal="right"/>
    </xf>
    <xf numFmtId="166" fontId="19" fillId="0" borderId="64" xfId="0" applyNumberFormat="1" applyFont="1" applyFill="1" applyBorder="1" applyAlignment="1">
      <alignment horizontal="right"/>
    </xf>
    <xf numFmtId="3" fontId="0" fillId="0" borderId="79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3" fontId="28" fillId="0" borderId="60" xfId="0" applyNumberFormat="1" applyFont="1" applyFill="1" applyBorder="1" applyAlignment="1">
      <alignment horizontal="right"/>
    </xf>
    <xf numFmtId="166" fontId="19" fillId="0" borderId="8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0" fontId="25" fillId="0" borderId="51" xfId="0" applyFont="1" applyFill="1" applyBorder="1" applyAlignment="1">
      <alignment horizontal="left" indent="1"/>
    </xf>
    <xf numFmtId="3" fontId="26" fillId="0" borderId="51" xfId="0" applyNumberFormat="1" applyFont="1" applyFill="1" applyBorder="1" applyAlignment="1" applyProtection="1">
      <alignment horizontal="right"/>
      <protection locked="0"/>
    </xf>
    <xf numFmtId="3" fontId="26" fillId="0" borderId="84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 horizontal="right"/>
      <protection locked="0"/>
    </xf>
    <xf numFmtId="3" fontId="26" fillId="0" borderId="86" xfId="0" applyNumberFormat="1" applyFont="1" applyFill="1" applyBorder="1" applyAlignment="1">
      <alignment horizontal="right"/>
    </xf>
    <xf numFmtId="3" fontId="26" fillId="0" borderId="52" xfId="0" applyNumberFormat="1" applyFont="1" applyFill="1" applyBorder="1" applyAlignment="1" applyProtection="1">
      <alignment horizontal="right"/>
      <protection locked="0"/>
    </xf>
    <xf numFmtId="166" fontId="26" fillId="0" borderId="52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 applyProtection="1">
      <alignment horizontal="right"/>
      <protection locked="0"/>
    </xf>
    <xf numFmtId="3" fontId="0" fillId="0" borderId="59" xfId="0" applyNumberFormat="1" applyFont="1" applyFill="1" applyBorder="1" applyAlignment="1" applyProtection="1">
      <alignment horizontal="right"/>
      <protection locked="0"/>
    </xf>
    <xf numFmtId="3" fontId="26" fillId="0" borderId="78" xfId="0" applyNumberFormat="1" applyFont="1" applyFill="1" applyBorder="1" applyAlignment="1">
      <alignment horizontal="right"/>
    </xf>
    <xf numFmtId="3" fontId="26" fillId="0" borderId="53" xfId="0" applyNumberFormat="1" applyFont="1" applyFill="1" applyBorder="1" applyAlignment="1" applyProtection="1">
      <alignment horizontal="right"/>
      <protection locked="0"/>
    </xf>
    <xf numFmtId="3" fontId="26" fillId="0" borderId="54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0" fillId="0" borderId="73" xfId="0" applyNumberFormat="1" applyFont="1" applyFill="1" applyBorder="1" applyAlignment="1" applyProtection="1">
      <alignment horizontal="right"/>
      <protection locked="0"/>
    </xf>
    <xf numFmtId="3" fontId="26" fillId="0" borderId="76" xfId="0" applyNumberFormat="1" applyFont="1" applyFill="1" applyBorder="1" applyAlignment="1">
      <alignment horizontal="right"/>
    </xf>
    <xf numFmtId="3" fontId="26" fillId="0" borderId="90" xfId="0" applyNumberFormat="1" applyFont="1" applyFill="1" applyBorder="1" applyAlignment="1">
      <alignment horizontal="right"/>
    </xf>
    <xf numFmtId="3" fontId="26" fillId="0" borderId="55" xfId="0" applyNumberFormat="1" applyFont="1" applyFill="1" applyBorder="1" applyAlignment="1" applyProtection="1">
      <alignment horizontal="right"/>
      <protection locked="0"/>
    </xf>
    <xf numFmtId="3" fontId="26" fillId="0" borderId="50" xfId="0" applyNumberFormat="1" applyFont="1" applyFill="1" applyBorder="1" applyAlignment="1" applyProtection="1">
      <alignment horizontal="right"/>
      <protection locked="0"/>
    </xf>
    <xf numFmtId="3" fontId="26" fillId="0" borderId="83" xfId="0" applyNumberFormat="1" applyFont="1" applyFill="1" applyBorder="1" applyAlignment="1">
      <alignment horizontal="right"/>
    </xf>
    <xf numFmtId="0" fontId="29" fillId="0" borderId="63" xfId="0" applyFont="1" applyFill="1" applyBorder="1" applyAlignment="1">
      <alignment horizontal="left" indent="1"/>
    </xf>
    <xf numFmtId="3" fontId="27" fillId="0" borderId="61" xfId="0" applyNumberFormat="1" applyFont="1" applyFill="1" applyBorder="1" applyAlignment="1" applyProtection="1">
      <alignment horizontal="right"/>
      <protection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166" fontId="26" fillId="0" borderId="51" xfId="0" applyNumberFormat="1" applyFont="1" applyFill="1" applyBorder="1" applyAlignment="1" applyProtection="1">
      <alignment horizontal="right"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166" fontId="26" fillId="0" borderId="55" xfId="0" applyNumberFormat="1" applyFont="1" applyFill="1" applyBorder="1" applyAlignment="1" applyProtection="1">
      <alignment horizontal="right"/>
      <protection locked="0"/>
    </xf>
    <xf numFmtId="3" fontId="27" fillId="0" borderId="32" xfId="0" applyNumberFormat="1" applyFont="1" applyFill="1" applyBorder="1" applyAlignment="1">
      <alignment horizontal="right"/>
    </xf>
    <xf numFmtId="3" fontId="27" fillId="0" borderId="44" xfId="0" applyNumberFormat="1" applyFont="1" applyFill="1" applyBorder="1" applyAlignment="1">
      <alignment horizontal="right"/>
    </xf>
    <xf numFmtId="3" fontId="27" fillId="0" borderId="61" xfId="0" applyNumberFormat="1" applyFont="1" applyFill="1" applyBorder="1" applyAlignment="1" applyProtection="1">
      <alignment horizontal="right"/>
      <protection locked="0"/>
    </xf>
    <xf numFmtId="166" fontId="27" fillId="0" borderId="61" xfId="0" applyNumberFormat="1" applyFont="1" applyFill="1" applyBorder="1" applyAlignment="1" applyProtection="1">
      <alignment horizontal="right"/>
      <protection locked="0"/>
    </xf>
    <xf numFmtId="3" fontId="0" fillId="0" borderId="49" xfId="0" applyNumberFormat="1" applyFill="1" applyBorder="1" applyAlignment="1" applyProtection="1">
      <alignment horizontal="right"/>
      <protection locked="0"/>
    </xf>
    <xf numFmtId="0" fontId="29" fillId="0" borderId="65" xfId="0" applyFont="1" applyFill="1" applyBorder="1" applyAlignment="1">
      <alignment horizontal="left" indent="1"/>
    </xf>
    <xf numFmtId="0" fontId="29" fillId="0" borderId="58" xfId="0" applyFont="1" applyFill="1" applyBorder="1" applyAlignment="1">
      <alignment horizontal="left" indent="1"/>
    </xf>
    <xf numFmtId="0" fontId="0" fillId="0" borderId="0" xfId="0" applyFill="1" applyAlignment="1">
      <alignment horizontal="left"/>
    </xf>
    <xf numFmtId="0" fontId="71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3" fontId="28" fillId="0" borderId="49" xfId="0" applyNumberFormat="1" applyFont="1" applyFill="1" applyBorder="1" applyAlignment="1">
      <alignment horizontal="right"/>
    </xf>
    <xf numFmtId="3" fontId="28" fillId="0" borderId="53" xfId="0" applyNumberFormat="1" applyFont="1" applyFill="1" applyBorder="1" applyAlignment="1">
      <alignment horizontal="right"/>
    </xf>
    <xf numFmtId="3" fontId="28" fillId="0" borderId="52" xfId="0" applyNumberFormat="1" applyFont="1" applyFill="1" applyBorder="1" applyAlignment="1">
      <alignment horizontal="right"/>
    </xf>
    <xf numFmtId="3" fontId="28" fillId="0" borderId="50" xfId="0" applyNumberFormat="1" applyFont="1" applyFill="1" applyBorder="1" applyAlignment="1">
      <alignment horizontal="right"/>
    </xf>
    <xf numFmtId="3" fontId="7" fillId="0" borderId="61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3" fontId="19" fillId="0" borderId="64" xfId="0" applyNumberFormat="1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166" fontId="19" fillId="0" borderId="84" xfId="0" applyNumberFormat="1" applyFont="1" applyFill="1" applyBorder="1" applyAlignment="1">
      <alignment horizontal="right"/>
    </xf>
    <xf numFmtId="3" fontId="0" fillId="0" borderId="68" xfId="0" applyNumberFormat="1" applyFill="1" applyBorder="1" applyAlignment="1" applyProtection="1">
      <alignment horizontal="right"/>
      <protection locked="0"/>
    </xf>
    <xf numFmtId="3" fontId="0" fillId="0" borderId="71" xfId="0" applyNumberFormat="1" applyFill="1" applyBorder="1" applyAlignment="1" applyProtection="1">
      <alignment horizontal="right"/>
      <protection locked="0"/>
    </xf>
    <xf numFmtId="3" fontId="0" fillId="0" borderId="84" xfId="0" applyNumberFormat="1" applyFont="1" applyFill="1" applyBorder="1" applyAlignment="1">
      <alignment horizontal="right"/>
    </xf>
    <xf numFmtId="166" fontId="19" fillId="0" borderId="53" xfId="0" applyNumberFormat="1" applyFont="1" applyFill="1" applyBorder="1" applyAlignment="1">
      <alignment horizontal="right"/>
    </xf>
    <xf numFmtId="3" fontId="0" fillId="0" borderId="83" xfId="0" applyNumberFormat="1" applyFill="1" applyBorder="1" applyAlignment="1" applyProtection="1">
      <alignment horizontal="right"/>
      <protection locked="0"/>
    </xf>
    <xf numFmtId="3" fontId="0" fillId="0" borderId="74" xfId="0" applyNumberFormat="1" applyFill="1" applyBorder="1" applyAlignment="1" applyProtection="1">
      <alignment horizontal="right"/>
      <protection locked="0"/>
    </xf>
    <xf numFmtId="3" fontId="0" fillId="0" borderId="55" xfId="0" applyNumberFormat="1" applyFont="1" applyFill="1" applyBorder="1" applyAlignment="1">
      <alignment horizontal="right"/>
    </xf>
    <xf numFmtId="166" fontId="19" fillId="0" borderId="51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 applyProtection="1">
      <alignment horizontal="right"/>
      <protection locked="0"/>
    </xf>
    <xf numFmtId="166" fontId="19" fillId="0" borderId="52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166" fontId="19" fillId="0" borderId="55" xfId="0" applyNumberFormat="1" applyFont="1" applyFill="1" applyBorder="1" applyAlignment="1">
      <alignment horizontal="right"/>
    </xf>
    <xf numFmtId="3" fontId="0" fillId="0" borderId="88" xfId="0" applyNumberForma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>
      <alignment horizontal="right"/>
    </xf>
    <xf numFmtId="166" fontId="19" fillId="0" borderId="61" xfId="0" applyNumberFormat="1" applyFont="1" applyFill="1" applyBorder="1" applyAlignment="1">
      <alignment horizontal="right"/>
    </xf>
    <xf numFmtId="3" fontId="7" fillId="0" borderId="63" xfId="0" applyNumberFormat="1" applyFont="1" applyFill="1" applyBorder="1" applyAlignment="1">
      <alignment horizontal="right"/>
    </xf>
    <xf numFmtId="3" fontId="0" fillId="0" borderId="61" xfId="0" applyNumberFormat="1" applyFill="1" applyBorder="1" applyAlignment="1" applyProtection="1">
      <alignment horizontal="right"/>
      <protection locked="0"/>
    </xf>
    <xf numFmtId="3" fontId="28" fillId="0" borderId="51" xfId="0" applyNumberFormat="1" applyFont="1" applyFill="1" applyBorder="1" applyAlignment="1">
      <alignment horizontal="right"/>
    </xf>
    <xf numFmtId="166" fontId="28" fillId="0" borderId="51" xfId="0" applyNumberFormat="1" applyFont="1" applyFill="1" applyBorder="1" applyAlignment="1">
      <alignment horizontal="right"/>
    </xf>
    <xf numFmtId="3" fontId="0" fillId="0" borderId="78" xfId="0" applyNumberFormat="1" applyFill="1" applyBorder="1" applyAlignment="1" applyProtection="1">
      <alignment horizontal="right"/>
      <protection locked="0"/>
    </xf>
    <xf numFmtId="3" fontId="0" fillId="0" borderId="79" xfId="0" applyNumberForma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right"/>
    </xf>
    <xf numFmtId="166" fontId="28" fillId="0" borderId="52" xfId="0" applyNumberFormat="1" applyFont="1" applyFill="1" applyBorder="1" applyAlignment="1">
      <alignment horizontal="right"/>
    </xf>
    <xf numFmtId="166" fontId="28" fillId="0" borderId="53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166" fontId="27" fillId="0" borderId="63" xfId="0" applyNumberFormat="1" applyFont="1" applyFill="1" applyBorder="1" applyAlignment="1" applyProtection="1">
      <alignment horizontal="right"/>
      <protection/>
    </xf>
    <xf numFmtId="3" fontId="0" fillId="0" borderId="21" xfId="0" applyNumberForma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right"/>
    </xf>
    <xf numFmtId="3" fontId="0" fillId="0" borderId="22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 applyProtection="1">
      <alignment horizontal="right"/>
      <protection locked="0"/>
    </xf>
    <xf numFmtId="3" fontId="27" fillId="0" borderId="82" xfId="0" applyNumberFormat="1" applyFont="1" applyFill="1" applyBorder="1" applyAlignment="1">
      <alignment horizontal="right"/>
    </xf>
    <xf numFmtId="0" fontId="7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51" xfId="0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3" fontId="0" fillId="0" borderId="49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165" fontId="0" fillId="0" borderId="53" xfId="0" applyNumberFormat="1" applyFont="1" applyFill="1" applyBorder="1" applyAlignment="1">
      <alignment/>
    </xf>
    <xf numFmtId="165" fontId="0" fillId="0" borderId="74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/>
    </xf>
    <xf numFmtId="3" fontId="7" fillId="0" borderId="61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 horizontal="right"/>
    </xf>
    <xf numFmtId="0" fontId="67" fillId="0" borderId="51" xfId="0" applyFont="1" applyFill="1" applyBorder="1" applyAlignment="1">
      <alignment horizontal="center"/>
    </xf>
    <xf numFmtId="0" fontId="67" fillId="0" borderId="52" xfId="0" applyFont="1" applyFill="1" applyBorder="1" applyAlignment="1">
      <alignment horizontal="center"/>
    </xf>
    <xf numFmtId="0" fontId="67" fillId="0" borderId="55" xfId="0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0" fontId="77" fillId="0" borderId="61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 horizontal="right"/>
    </xf>
    <xf numFmtId="0" fontId="7" fillId="0" borderId="54" xfId="0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/>
    </xf>
    <xf numFmtId="3" fontId="19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7" fillId="0" borderId="63" xfId="0" applyFont="1" applyFill="1" applyBorder="1" applyAlignment="1">
      <alignment horizontal="left" indent="1"/>
    </xf>
    <xf numFmtId="3" fontId="22" fillId="0" borderId="62" xfId="0" applyNumberFormat="1" applyFont="1" applyFill="1" applyBorder="1" applyAlignment="1">
      <alignment horizontal="left" indent="1"/>
    </xf>
    <xf numFmtId="3" fontId="21" fillId="0" borderId="62" xfId="0" applyNumberFormat="1" applyFont="1" applyFill="1" applyBorder="1" applyAlignment="1">
      <alignment horizontal="left" indent="1"/>
    </xf>
    <xf numFmtId="3" fontId="0" fillId="0" borderId="62" xfId="0" applyNumberFormat="1" applyFill="1" applyBorder="1" applyAlignment="1">
      <alignment horizontal="left" indent="1"/>
    </xf>
    <xf numFmtId="166" fontId="0" fillId="0" borderId="62" xfId="0" applyNumberFormat="1" applyFill="1" applyBorder="1" applyAlignment="1">
      <alignment horizontal="left" indent="1"/>
    </xf>
    <xf numFmtId="3" fontId="0" fillId="0" borderId="64" xfId="0" applyNumberFormat="1" applyFill="1" applyBorder="1" applyAlignment="1">
      <alignment horizontal="left" indent="1"/>
    </xf>
    <xf numFmtId="0" fontId="76" fillId="0" borderId="49" xfId="0" applyFont="1" applyFill="1" applyBorder="1" applyAlignment="1">
      <alignment horizontal="left" vertical="center" indent="1"/>
    </xf>
    <xf numFmtId="0" fontId="7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indent="1"/>
    </xf>
    <xf numFmtId="0" fontId="7" fillId="0" borderId="5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indent="1"/>
    </xf>
    <xf numFmtId="3" fontId="28" fillId="0" borderId="84" xfId="0" applyNumberFormat="1" applyFont="1" applyFill="1" applyBorder="1" applyAlignment="1">
      <alignment horizontal="right"/>
    </xf>
    <xf numFmtId="166" fontId="28" fillId="0" borderId="7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76" fillId="0" borderId="73" xfId="0" applyFont="1" applyFill="1" applyBorder="1" applyAlignment="1">
      <alignment horizontal="left" indent="1"/>
    </xf>
    <xf numFmtId="3" fontId="0" fillId="0" borderId="74" xfId="0" applyNumberFormat="1" applyFont="1" applyFill="1" applyBorder="1" applyAlignment="1" applyProtection="1">
      <alignment horizontal="right"/>
      <protection locked="0"/>
    </xf>
    <xf numFmtId="166" fontId="28" fillId="0" borderId="76" xfId="0" applyNumberFormat="1" applyFont="1" applyFill="1" applyBorder="1" applyAlignment="1">
      <alignment horizontal="right"/>
    </xf>
    <xf numFmtId="0" fontId="76" fillId="0" borderId="44" xfId="0" applyFont="1" applyFill="1" applyBorder="1" applyAlignment="1">
      <alignment horizontal="left" indent="1"/>
    </xf>
    <xf numFmtId="166" fontId="28" fillId="0" borderId="78" xfId="0" applyNumberFormat="1" applyFont="1" applyFill="1" applyBorder="1" applyAlignment="1">
      <alignment horizontal="right"/>
    </xf>
    <xf numFmtId="0" fontId="76" fillId="0" borderId="59" xfId="0" applyFont="1" applyFill="1" applyBorder="1" applyAlignment="1">
      <alignment horizontal="left" indent="1"/>
    </xf>
    <xf numFmtId="3" fontId="28" fillId="0" borderId="55" xfId="0" applyNumberFormat="1" applyFont="1" applyFill="1" applyBorder="1" applyAlignment="1">
      <alignment horizontal="right"/>
    </xf>
    <xf numFmtId="166" fontId="28" fillId="0" borderId="55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>
      <alignment horizontal="right"/>
    </xf>
    <xf numFmtId="0" fontId="76" fillId="0" borderId="63" xfId="0" applyFont="1" applyFill="1" applyBorder="1" applyAlignment="1">
      <alignment horizontal="left" indent="1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Alignment="1">
      <alignment horizontal="right"/>
    </xf>
    <xf numFmtId="3" fontId="0" fillId="0" borderId="29" xfId="0" applyNumberFormat="1" applyFont="1" applyFill="1" applyBorder="1" applyAlignment="1" applyProtection="1">
      <alignment horizontal="right"/>
      <protection locked="0"/>
    </xf>
    <xf numFmtId="166" fontId="28" fillId="0" borderId="83" xfId="0" applyNumberFormat="1" applyFont="1" applyFill="1" applyBorder="1" applyAlignment="1">
      <alignment horizontal="right"/>
    </xf>
    <xf numFmtId="0" fontId="76" fillId="0" borderId="51" xfId="0" applyFont="1" applyFill="1" applyBorder="1" applyAlignment="1">
      <alignment horizontal="left" indent="1"/>
    </xf>
    <xf numFmtId="3" fontId="28" fillId="0" borderId="51" xfId="0" applyNumberFormat="1" applyFont="1" applyFill="1" applyBorder="1" applyAlignment="1" applyProtection="1">
      <alignment horizontal="right"/>
      <protection locked="0"/>
    </xf>
    <xf numFmtId="3" fontId="0" fillId="0" borderId="67" xfId="0" applyNumberFormat="1" applyFont="1" applyFill="1" applyBorder="1" applyAlignment="1" applyProtection="1">
      <alignment horizontal="right"/>
      <protection locked="0"/>
    </xf>
    <xf numFmtId="3" fontId="28" fillId="0" borderId="52" xfId="0" applyNumberFormat="1" applyFont="1" applyFill="1" applyBorder="1" applyAlignment="1" applyProtection="1">
      <alignment horizontal="right"/>
      <protection locked="0"/>
    </xf>
    <xf numFmtId="166" fontId="28" fillId="0" borderId="52" xfId="0" applyNumberFormat="1" applyFont="1" applyFill="1" applyBorder="1" applyAlignment="1" applyProtection="1">
      <alignment horizontal="right"/>
      <protection locked="0"/>
    </xf>
    <xf numFmtId="3" fontId="28" fillId="0" borderId="53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28" fillId="0" borderId="55" xfId="0" applyNumberFormat="1" applyFont="1" applyFill="1" applyBorder="1" applyAlignment="1" applyProtection="1">
      <alignment horizontal="right"/>
      <protection locked="0"/>
    </xf>
    <xf numFmtId="3" fontId="19" fillId="0" borderId="61" xfId="0" applyNumberFormat="1" applyFont="1" applyFill="1" applyBorder="1" applyAlignment="1" applyProtection="1">
      <alignment horizontal="right"/>
      <protection/>
    </xf>
    <xf numFmtId="166" fontId="19" fillId="0" borderId="61" xfId="0" applyNumberFormat="1" applyFont="1" applyFill="1" applyBorder="1" applyAlignment="1" applyProtection="1">
      <alignment horizontal="right"/>
      <protection/>
    </xf>
    <xf numFmtId="166" fontId="19" fillId="0" borderId="63" xfId="0" applyNumberFormat="1" applyFont="1" applyFill="1" applyBorder="1" applyAlignment="1" applyProtection="1">
      <alignment horizontal="right"/>
      <protection/>
    </xf>
    <xf numFmtId="3" fontId="0" fillId="0" borderId="62" xfId="0" applyNumberFormat="1" applyFont="1" applyFill="1" applyBorder="1" applyAlignment="1" applyProtection="1">
      <alignment horizontal="right"/>
      <protection locked="0"/>
    </xf>
    <xf numFmtId="166" fontId="28" fillId="0" borderId="51" xfId="0" applyNumberFormat="1" applyFont="1" applyFill="1" applyBorder="1" applyAlignment="1" applyProtection="1">
      <alignment horizontal="right"/>
      <protection locked="0"/>
    </xf>
    <xf numFmtId="166" fontId="28" fillId="0" borderId="55" xfId="0" applyNumberFormat="1" applyFont="1" applyFill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>
      <alignment horizontal="right"/>
    </xf>
    <xf numFmtId="3" fontId="19" fillId="0" borderId="61" xfId="0" applyNumberFormat="1" applyFont="1" applyFill="1" applyBorder="1" applyAlignment="1" applyProtection="1">
      <alignment horizontal="right"/>
      <protection locked="0"/>
    </xf>
    <xf numFmtId="166" fontId="19" fillId="0" borderId="61" xfId="0" applyNumberFormat="1" applyFont="1" applyFill="1" applyBorder="1" applyAlignment="1" applyProtection="1">
      <alignment horizontal="right"/>
      <protection locked="0"/>
    </xf>
    <xf numFmtId="0" fontId="76" fillId="0" borderId="65" xfId="0" applyFont="1" applyFill="1" applyBorder="1" applyAlignment="1">
      <alignment horizontal="left" indent="1"/>
    </xf>
    <xf numFmtId="0" fontId="76" fillId="0" borderId="58" xfId="0" applyFont="1" applyFill="1" applyBorder="1" applyAlignment="1">
      <alignment horizontal="left" indent="1"/>
    </xf>
    <xf numFmtId="3" fontId="0" fillId="0" borderId="76" xfId="0" applyNumberFormat="1" applyFill="1" applyBorder="1" applyAlignment="1" applyProtection="1">
      <alignment horizontal="right"/>
      <protection locked="0"/>
    </xf>
    <xf numFmtId="3" fontId="0" fillId="0" borderId="55" xfId="0" applyNumberFormat="1" applyFill="1" applyBorder="1" applyAlignment="1" applyProtection="1">
      <alignment horizontal="right"/>
      <protection locked="0"/>
    </xf>
    <xf numFmtId="3" fontId="0" fillId="0" borderId="44" xfId="0" applyNumberFormat="1" applyFill="1" applyBorder="1" applyAlignment="1" applyProtection="1">
      <alignment horizontal="right"/>
      <protection locked="0"/>
    </xf>
    <xf numFmtId="3" fontId="0" fillId="0" borderId="67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62" xfId="0" applyNumberFormat="1" applyFill="1" applyBorder="1" applyAlignment="1" applyProtection="1">
      <alignment horizontal="right"/>
      <protection locked="0"/>
    </xf>
    <xf numFmtId="166" fontId="27" fillId="0" borderId="64" xfId="0" applyNumberFormat="1" applyFont="1" applyFill="1" applyBorder="1" applyAlignment="1">
      <alignment horizontal="right"/>
    </xf>
    <xf numFmtId="166" fontId="27" fillId="0" borderId="55" xfId="0" applyNumberFormat="1" applyFont="1" applyFill="1" applyBorder="1" applyAlignment="1">
      <alignment horizontal="right"/>
    </xf>
    <xf numFmtId="3" fontId="27" fillId="0" borderId="57" xfId="0" applyNumberFormat="1" applyFont="1" applyFill="1" applyBorder="1" applyAlignment="1">
      <alignment horizontal="right"/>
    </xf>
    <xf numFmtId="166" fontId="26" fillId="0" borderId="84" xfId="0" applyNumberFormat="1" applyFont="1" applyFill="1" applyBorder="1" applyAlignment="1">
      <alignment horizontal="right"/>
    </xf>
    <xf numFmtId="166" fontId="26" fillId="0" borderId="52" xfId="0" applyNumberFormat="1" applyFont="1" applyFill="1" applyBorder="1" applyAlignment="1">
      <alignment horizontal="right"/>
    </xf>
    <xf numFmtId="3" fontId="28" fillId="0" borderId="61" xfId="0" applyNumberFormat="1" applyFont="1" applyFill="1" applyBorder="1" applyAlignment="1">
      <alignment horizontal="right"/>
    </xf>
    <xf numFmtId="3" fontId="7" fillId="0" borderId="61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Fill="1" applyBorder="1" applyAlignment="1">
      <alignment horizontal="right"/>
    </xf>
    <xf numFmtId="3" fontId="26" fillId="0" borderId="66" xfId="0" applyNumberFormat="1" applyFont="1" applyFill="1" applyBorder="1" applyAlignment="1" applyProtection="1">
      <alignment horizontal="right"/>
      <protection locked="0"/>
    </xf>
    <xf numFmtId="3" fontId="26" fillId="0" borderId="59" xfId="0" applyNumberFormat="1" applyFont="1" applyFill="1" applyBorder="1" applyAlignment="1" applyProtection="1">
      <alignment horizontal="right"/>
      <protection locked="0"/>
    </xf>
    <xf numFmtId="166" fontId="26" fillId="0" borderId="53" xfId="0" applyNumberFormat="1" applyFont="1" applyFill="1" applyBorder="1" applyAlignment="1" applyProtection="1">
      <alignment horizontal="right"/>
      <protection locked="0"/>
    </xf>
    <xf numFmtId="3" fontId="26" fillId="0" borderId="58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96" xfId="0" applyFont="1" applyFill="1" applyBorder="1" applyAlignment="1">
      <alignment/>
    </xf>
    <xf numFmtId="165" fontId="0" fillId="0" borderId="96" xfId="0" applyNumberFormat="1" applyFont="1" applyFill="1" applyBorder="1" applyAlignment="1">
      <alignment/>
    </xf>
    <xf numFmtId="165" fontId="0" fillId="0" borderId="91" xfId="0" applyNumberFormat="1" applyFont="1" applyFill="1" applyBorder="1" applyAlignment="1">
      <alignment horizontal="center"/>
    </xf>
    <xf numFmtId="0" fontId="0" fillId="0" borderId="99" xfId="0" applyFont="1" applyFill="1" applyBorder="1" applyAlignment="1">
      <alignment/>
    </xf>
    <xf numFmtId="165" fontId="0" fillId="0" borderId="99" xfId="0" applyNumberFormat="1" applyFont="1" applyFill="1" applyBorder="1" applyAlignment="1">
      <alignment/>
    </xf>
    <xf numFmtId="165" fontId="0" fillId="0" borderId="122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0" fontId="7" fillId="0" borderId="108" xfId="0" applyFont="1" applyFill="1" applyBorder="1" applyAlignment="1">
      <alignment horizontal="center"/>
    </xf>
    <xf numFmtId="3" fontId="7" fillId="0" borderId="108" xfId="0" applyNumberFormat="1" applyFont="1" applyFill="1" applyBorder="1" applyAlignment="1">
      <alignment/>
    </xf>
    <xf numFmtId="3" fontId="7" fillId="0" borderId="111" xfId="0" applyNumberFormat="1" applyFont="1" applyFill="1" applyBorder="1" applyAlignment="1">
      <alignment horizontal="center"/>
    </xf>
    <xf numFmtId="3" fontId="7" fillId="0" borderId="109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98" xfId="0" applyNumberFormat="1" applyFont="1" applyFill="1" applyBorder="1" applyAlignment="1">
      <alignment horizontal="center"/>
    </xf>
    <xf numFmtId="3" fontId="0" fillId="0" borderId="99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 horizontal="center"/>
    </xf>
    <xf numFmtId="0" fontId="77" fillId="0" borderId="108" xfId="0" applyFont="1" applyFill="1" applyBorder="1" applyAlignment="1">
      <alignment horizontal="center"/>
    </xf>
    <xf numFmtId="3" fontId="7" fillId="0" borderId="108" xfId="0" applyNumberFormat="1" applyFont="1" applyFill="1" applyBorder="1" applyAlignment="1">
      <alignment horizontal="center"/>
    </xf>
    <xf numFmtId="0" fontId="0" fillId="0" borderId="95" xfId="0" applyFont="1" applyFill="1" applyBorder="1" applyAlignment="1">
      <alignment/>
    </xf>
    <xf numFmtId="3" fontId="0" fillId="0" borderId="95" xfId="0" applyNumberFormat="1" applyFont="1" applyFill="1" applyBorder="1" applyAlignment="1">
      <alignment/>
    </xf>
    <xf numFmtId="166" fontId="7" fillId="0" borderId="108" xfId="0" applyNumberFormat="1" applyFont="1" applyFill="1" applyBorder="1" applyAlignment="1">
      <alignment horizontal="right"/>
    </xf>
    <xf numFmtId="3" fontId="7" fillId="0" borderId="116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6" fillId="0" borderId="108" xfId="0" applyFont="1" applyFill="1" applyBorder="1" applyAlignment="1">
      <alignment horizontal="left" vertical="center" indent="1"/>
    </xf>
    <xf numFmtId="3" fontId="7" fillId="0" borderId="112" xfId="0" applyNumberFormat="1" applyFont="1" applyFill="1" applyBorder="1" applyAlignment="1">
      <alignment horizontal="center" vertical="center"/>
    </xf>
    <xf numFmtId="0" fontId="76" fillId="0" borderId="107" xfId="0" applyFont="1" applyFill="1" applyBorder="1" applyAlignment="1">
      <alignment horizontal="left" indent="1"/>
    </xf>
    <xf numFmtId="0" fontId="76" fillId="0" borderId="121" xfId="0" applyFont="1" applyFill="1" applyBorder="1" applyAlignment="1">
      <alignment horizontal="left" indent="1"/>
    </xf>
    <xf numFmtId="0" fontId="76" fillId="0" borderId="104" xfId="0" applyFont="1" applyFill="1" applyBorder="1" applyAlignment="1">
      <alignment horizontal="left" indent="1"/>
    </xf>
    <xf numFmtId="0" fontId="76" fillId="0" borderId="105" xfId="0" applyFont="1" applyFill="1" applyBorder="1" applyAlignment="1">
      <alignment horizontal="left" indent="1"/>
    </xf>
    <xf numFmtId="0" fontId="76" fillId="0" borderId="110" xfId="0" applyFont="1" applyFill="1" applyBorder="1" applyAlignment="1">
      <alignment horizontal="left" indent="1"/>
    </xf>
    <xf numFmtId="3" fontId="0" fillId="0" borderId="98" xfId="0" applyNumberFormat="1" applyFont="1" applyFill="1" applyBorder="1" applyAlignment="1">
      <alignment horizontal="right"/>
    </xf>
    <xf numFmtId="3" fontId="0" fillId="0" borderId="100" xfId="0" applyNumberFormat="1" applyFont="1" applyFill="1" applyBorder="1" applyAlignment="1">
      <alignment horizontal="right"/>
    </xf>
    <xf numFmtId="0" fontId="76" fillId="0" borderId="96" xfId="0" applyFont="1" applyFill="1" applyBorder="1" applyAlignment="1">
      <alignment horizontal="left" indent="1"/>
    </xf>
    <xf numFmtId="3" fontId="0" fillId="0" borderId="97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0" fontId="76" fillId="0" borderId="112" xfId="0" applyFont="1" applyFill="1" applyBorder="1" applyAlignment="1">
      <alignment horizontal="left" indent="1"/>
    </xf>
    <xf numFmtId="0" fontId="76" fillId="0" borderId="102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/>
    </xf>
    <xf numFmtId="3" fontId="0" fillId="0" borderId="92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97" xfId="0" applyNumberFormat="1" applyFill="1" applyBorder="1" applyAlignment="1">
      <alignment/>
    </xf>
    <xf numFmtId="3" fontId="20" fillId="0" borderId="97" xfId="0" applyNumberFormat="1" applyFont="1" applyFill="1" applyBorder="1" applyAlignment="1">
      <alignment/>
    </xf>
    <xf numFmtId="3" fontId="20" fillId="0" borderId="98" xfId="0" applyNumberFormat="1" applyFont="1" applyFill="1" applyBorder="1" applyAlignment="1">
      <alignment/>
    </xf>
    <xf numFmtId="3" fontId="0" fillId="0" borderId="116" xfId="0" applyNumberFormat="1" applyFill="1" applyBorder="1" applyAlignment="1">
      <alignment/>
    </xf>
    <xf numFmtId="3" fontId="20" fillId="0" borderId="116" xfId="0" applyNumberFormat="1" applyFont="1" applyFill="1" applyBorder="1" applyAlignment="1">
      <alignment/>
    </xf>
    <xf numFmtId="0" fontId="80" fillId="0" borderId="96" xfId="0" applyFont="1" applyFill="1" applyBorder="1" applyAlignment="1">
      <alignment horizontal="center"/>
    </xf>
    <xf numFmtId="0" fontId="80" fillId="0" borderId="98" xfId="0" applyFont="1" applyFill="1" applyBorder="1" applyAlignment="1">
      <alignment horizontal="center"/>
    </xf>
    <xf numFmtId="0" fontId="81" fillId="0" borderId="98" xfId="0" applyFont="1" applyFill="1" applyBorder="1" applyAlignment="1">
      <alignment horizontal="center"/>
    </xf>
    <xf numFmtId="0" fontId="80" fillId="0" borderId="100" xfId="0" applyFont="1" applyFill="1" applyBorder="1" applyAlignment="1">
      <alignment horizontal="center"/>
    </xf>
    <xf numFmtId="0" fontId="82" fillId="0" borderId="108" xfId="0" applyFont="1" applyFill="1" applyBorder="1" applyAlignment="1">
      <alignment horizontal="center"/>
    </xf>
    <xf numFmtId="3" fontId="28" fillId="0" borderId="97" xfId="0" applyNumberFormat="1" applyFont="1" applyFill="1" applyBorder="1" applyAlignment="1">
      <alignment horizontal="right"/>
    </xf>
    <xf numFmtId="3" fontId="28" fillId="0" borderId="112" xfId="0" applyNumberFormat="1" applyFont="1" applyFill="1" applyBorder="1" applyAlignment="1">
      <alignment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113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28" fillId="0" borderId="95" xfId="0" applyNumberFormat="1" applyFont="1" applyFill="1" applyBorder="1" applyAlignment="1">
      <alignment horizontal="center"/>
    </xf>
    <xf numFmtId="166" fontId="28" fillId="0" borderId="120" xfId="0" applyNumberFormat="1" applyFont="1" applyFill="1" applyBorder="1" applyAlignment="1">
      <alignment horizontal="center"/>
    </xf>
    <xf numFmtId="3" fontId="0" fillId="0" borderId="97" xfId="0" applyNumberFormat="1" applyFont="1" applyFill="1" applyBorder="1" applyAlignment="1">
      <alignment/>
    </xf>
    <xf numFmtId="3" fontId="28" fillId="0" borderId="121" xfId="0" applyNumberFormat="1" applyFont="1" applyFill="1" applyBorder="1" applyAlignment="1">
      <alignment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39" xfId="0" applyNumberFormat="1" applyFont="1" applyFill="1" applyBorder="1" applyAlignment="1" applyProtection="1">
      <alignment/>
      <protection locked="0"/>
    </xf>
    <xf numFmtId="3" fontId="28" fillId="0" borderId="99" xfId="0" applyNumberFormat="1" applyFont="1" applyFill="1" applyBorder="1" applyAlignment="1">
      <alignment horizontal="center"/>
    </xf>
    <xf numFmtId="166" fontId="28" fillId="0" borderId="124" xfId="0" applyNumberFormat="1" applyFont="1" applyFill="1" applyBorder="1" applyAlignment="1">
      <alignment horizontal="center"/>
    </xf>
    <xf numFmtId="3" fontId="28" fillId="0" borderId="96" xfId="0" applyNumberFormat="1" applyFont="1" applyFill="1" applyBorder="1" applyAlignment="1">
      <alignment horizontal="center"/>
    </xf>
    <xf numFmtId="3" fontId="28" fillId="0" borderId="104" xfId="0" applyNumberFormat="1" applyFont="1" applyFill="1" applyBorder="1" applyAlignment="1">
      <alignment/>
    </xf>
    <xf numFmtId="3" fontId="0" fillId="0" borderId="125" xfId="0" applyNumberFormat="1" applyFont="1" applyFill="1" applyBorder="1" applyAlignment="1" applyProtection="1">
      <alignment/>
      <protection locked="0"/>
    </xf>
    <xf numFmtId="3" fontId="28" fillId="0" borderId="128" xfId="0" applyNumberFormat="1" applyFont="1" applyFill="1" applyBorder="1" applyAlignment="1">
      <alignment horizontal="center"/>
    </xf>
    <xf numFmtId="166" fontId="28" fillId="0" borderId="128" xfId="0" applyNumberFormat="1" applyFont="1" applyFill="1" applyBorder="1" applyAlignment="1">
      <alignment horizontal="center"/>
    </xf>
    <xf numFmtId="3" fontId="28" fillId="0" borderId="98" xfId="0" applyNumberFormat="1" applyFont="1" applyFill="1" applyBorder="1" applyAlignment="1">
      <alignment horizontal="center"/>
    </xf>
    <xf numFmtId="3" fontId="28" fillId="0" borderId="105" xfId="0" applyNumberFormat="1" applyFont="1" applyFill="1" applyBorder="1" applyAlignment="1">
      <alignment/>
    </xf>
    <xf numFmtId="3" fontId="0" fillId="0" borderId="98" xfId="0" applyNumberFormat="1" applyFont="1" applyFill="1" applyBorder="1" applyAlignment="1" applyProtection="1">
      <alignment/>
      <protection locked="0"/>
    </xf>
    <xf numFmtId="3" fontId="28" fillId="0" borderId="100" xfId="0" applyNumberFormat="1" applyFont="1" applyFill="1" applyBorder="1" applyAlignment="1">
      <alignment horizontal="center"/>
    </xf>
    <xf numFmtId="3" fontId="28" fillId="0" borderId="107" xfId="0" applyNumberFormat="1" applyFont="1" applyFill="1" applyBorder="1" applyAlignment="1">
      <alignment/>
    </xf>
    <xf numFmtId="3" fontId="0" fillId="0" borderId="100" xfId="0" applyNumberFormat="1" applyFont="1" applyFill="1" applyBorder="1" applyAlignment="1" applyProtection="1">
      <alignment/>
      <protection locked="0"/>
    </xf>
    <xf numFmtId="3" fontId="28" fillId="0" borderId="120" xfId="0" applyNumberFormat="1" applyFont="1" applyFill="1" applyBorder="1" applyAlignment="1">
      <alignment horizontal="center"/>
    </xf>
    <xf numFmtId="3" fontId="28" fillId="0" borderId="108" xfId="0" applyNumberFormat="1" applyFont="1" applyFill="1" applyBorder="1" applyAlignment="1">
      <alignment horizontal="center"/>
    </xf>
    <xf numFmtId="3" fontId="7" fillId="0" borderId="110" xfId="0" applyNumberFormat="1" applyFont="1" applyFill="1" applyBorder="1" applyAlignment="1">
      <alignment/>
    </xf>
    <xf numFmtId="3" fontId="0" fillId="0" borderId="108" xfId="0" applyNumberFormat="1" applyFont="1" applyFill="1" applyBorder="1" applyAlignment="1" applyProtection="1">
      <alignment/>
      <protection locked="0"/>
    </xf>
    <xf numFmtId="3" fontId="28" fillId="0" borderId="109" xfId="0" applyNumberFormat="1" applyFont="1" applyFill="1" applyBorder="1" applyAlignment="1">
      <alignment horizontal="center"/>
    </xf>
    <xf numFmtId="166" fontId="28" fillId="0" borderId="109" xfId="0" applyNumberFormat="1" applyFont="1" applyFill="1" applyBorder="1" applyAlignment="1">
      <alignment horizontal="center"/>
    </xf>
    <xf numFmtId="3" fontId="7" fillId="0" borderId="108" xfId="0" applyNumberFormat="1" applyFont="1" applyFill="1" applyBorder="1" applyAlignment="1">
      <alignment/>
    </xf>
    <xf numFmtId="3" fontId="0" fillId="0" borderId="108" xfId="0" applyNumberFormat="1" applyFont="1" applyFill="1" applyBorder="1" applyAlignment="1">
      <alignment/>
    </xf>
    <xf numFmtId="3" fontId="0" fillId="0" borderId="96" xfId="0" applyNumberFormat="1" applyFont="1" applyFill="1" applyBorder="1" applyAlignment="1" applyProtection="1">
      <alignment/>
      <protection locked="0"/>
    </xf>
    <xf numFmtId="3" fontId="28" fillId="0" borderId="106" xfId="0" applyNumberFormat="1" applyFont="1" applyFill="1" applyBorder="1" applyAlignment="1">
      <alignment/>
    </xf>
    <xf numFmtId="3" fontId="28" fillId="0" borderId="134" xfId="0" applyNumberFormat="1" applyFont="1" applyFill="1" applyBorder="1" applyAlignment="1">
      <alignment horizontal="center"/>
    </xf>
    <xf numFmtId="166" fontId="28" fillId="0" borderId="134" xfId="0" applyNumberFormat="1" applyFont="1" applyFill="1" applyBorder="1" applyAlignment="1">
      <alignment horizontal="center"/>
    </xf>
    <xf numFmtId="3" fontId="26" fillId="0" borderId="97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136" xfId="0" applyNumberFormat="1" applyFont="1" applyFill="1" applyBorder="1" applyAlignment="1" applyProtection="1">
      <alignment/>
      <protection locked="0"/>
    </xf>
    <xf numFmtId="3" fontId="27" fillId="0" borderId="136" xfId="0" applyNumberFormat="1" applyFont="1" applyFill="1" applyBorder="1" applyAlignment="1">
      <alignment/>
    </xf>
    <xf numFmtId="166" fontId="27" fillId="0" borderId="136" xfId="0" applyNumberFormat="1" applyFont="1" applyFill="1" applyBorder="1" applyAlignment="1">
      <alignment/>
    </xf>
    <xf numFmtId="166" fontId="26" fillId="0" borderId="98" xfId="0" applyNumberFormat="1" applyFont="1" applyFill="1" applyBorder="1" applyAlignment="1" applyProtection="1">
      <alignment/>
      <protection locked="0"/>
    </xf>
    <xf numFmtId="3" fontId="26" fillId="0" borderId="98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128" xfId="0" applyNumberFormat="1" applyFont="1" applyFill="1" applyBorder="1" applyAlignment="1" applyProtection="1">
      <alignment/>
      <protection locked="0"/>
    </xf>
    <xf numFmtId="3" fontId="27" fillId="0" borderId="128" xfId="0" applyNumberFormat="1" applyFont="1" applyFill="1" applyBorder="1" applyAlignment="1">
      <alignment/>
    </xf>
    <xf numFmtId="3" fontId="26" fillId="0" borderId="116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27" fillId="0" borderId="124" xfId="0" applyNumberFormat="1" applyFont="1" applyFill="1" applyBorder="1" applyAlignment="1">
      <alignment/>
    </xf>
    <xf numFmtId="3" fontId="26" fillId="0" borderId="96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26" fillId="0" borderId="95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166" fontId="27" fillId="0" borderId="108" xfId="0" applyNumberFormat="1" applyFont="1" applyFill="1" applyBorder="1" applyAlignment="1" applyProtection="1">
      <alignment/>
      <protection/>
    </xf>
    <xf numFmtId="166" fontId="27" fillId="0" borderId="110" xfId="0" applyNumberFormat="1" applyFont="1" applyFill="1" applyBorder="1" applyAlignment="1" applyProtection="1">
      <alignment/>
      <protection/>
    </xf>
    <xf numFmtId="166" fontId="27" fillId="0" borderId="61" xfId="0" applyNumberFormat="1" applyFont="1" applyFill="1" applyBorder="1" applyAlignment="1" applyProtection="1">
      <alignment/>
      <protection/>
    </xf>
    <xf numFmtId="3" fontId="0" fillId="0" borderId="109" xfId="0" applyNumberFormat="1" applyFont="1" applyFill="1" applyBorder="1" applyAlignment="1" applyProtection="1">
      <alignment/>
      <protection locked="0"/>
    </xf>
    <xf numFmtId="3" fontId="27" fillId="0" borderId="109" xfId="0" applyNumberFormat="1" applyFont="1" applyFill="1" applyBorder="1" applyAlignment="1">
      <alignment/>
    </xf>
    <xf numFmtId="166" fontId="26" fillId="0" borderId="96" xfId="0" applyNumberFormat="1" applyFont="1" applyFill="1" applyBorder="1" applyAlignment="1" applyProtection="1">
      <alignment/>
      <protection locked="0"/>
    </xf>
    <xf numFmtId="166" fontId="26" fillId="0" borderId="100" xfId="0" applyNumberFormat="1" applyFont="1" applyFill="1" applyBorder="1" applyAlignment="1" applyProtection="1">
      <alignment/>
      <protection locked="0"/>
    </xf>
    <xf numFmtId="3" fontId="27" fillId="0" borderId="108" xfId="0" applyNumberFormat="1" applyFont="1" applyFill="1" applyBorder="1" applyAlignment="1">
      <alignment/>
    </xf>
    <xf numFmtId="3" fontId="27" fillId="0" borderId="150" xfId="0" applyNumberFormat="1" applyFont="1" applyFill="1" applyBorder="1" applyAlignment="1">
      <alignment/>
    </xf>
    <xf numFmtId="166" fontId="27" fillId="0" borderId="97" xfId="0" applyNumberFormat="1" applyFont="1" applyFill="1" applyBorder="1" applyAlignment="1">
      <alignment/>
    </xf>
    <xf numFmtId="166" fontId="27" fillId="0" borderId="108" xfId="0" applyNumberFormat="1" applyFont="1" applyFill="1" applyBorder="1" applyAlignment="1" applyProtection="1">
      <alignment/>
      <protection locked="0"/>
    </xf>
    <xf numFmtId="3" fontId="0" fillId="0" borderId="95" xfId="0" applyNumberFormat="1" applyFill="1" applyBorder="1" applyAlignment="1">
      <alignment/>
    </xf>
    <xf numFmtId="3" fontId="0" fillId="0" borderId="96" xfId="0" applyNumberFormat="1" applyFont="1" applyFill="1" applyBorder="1" applyAlignment="1" applyProtection="1">
      <alignment horizontal="right"/>
      <protection locked="0"/>
    </xf>
    <xf numFmtId="3" fontId="0" fillId="0" borderId="92" xfId="0" applyNumberFormat="1" applyFill="1" applyBorder="1" applyAlignment="1" applyProtection="1">
      <alignment/>
      <protection locked="0"/>
    </xf>
    <xf numFmtId="166" fontId="27" fillId="0" borderId="108" xfId="0" applyNumberFormat="1" applyFont="1" applyFill="1" applyBorder="1" applyAlignment="1">
      <alignment/>
    </xf>
    <xf numFmtId="166" fontId="27" fillId="0" borderId="108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9.140625" style="108" customWidth="1"/>
    <col min="2" max="2" width="26.8515625" style="108" customWidth="1"/>
    <col min="3" max="5" width="23.7109375" style="108" customWidth="1"/>
    <col min="6" max="16384" width="9.140625" style="108" customWidth="1"/>
  </cols>
  <sheetData>
    <row r="1" s="180" customFormat="1" ht="15.75" hidden="1">
      <c r="A1" s="179" t="s">
        <v>0</v>
      </c>
    </row>
    <row r="2" s="180" customFormat="1" ht="12.75"/>
    <row r="3" spans="1:2" s="180" customFormat="1" ht="15.75" hidden="1">
      <c r="A3" s="179" t="s">
        <v>1</v>
      </c>
      <c r="B3" s="181"/>
    </row>
    <row r="4" spans="1:2" s="180" customFormat="1" ht="15.75">
      <c r="A4" s="179" t="s">
        <v>2</v>
      </c>
      <c r="B4" s="181"/>
    </row>
    <row r="5" s="180" customFormat="1" ht="15.75">
      <c r="A5" s="179"/>
    </row>
    <row r="6" spans="1:5" s="180" customFormat="1" ht="20.25">
      <c r="A6" s="843" t="s">
        <v>3</v>
      </c>
      <c r="B6" s="844"/>
      <c r="C6" s="845"/>
      <c r="D6" s="845"/>
      <c r="E6" s="845"/>
    </row>
    <row r="7" spans="1:5" ht="15.75">
      <c r="A7" s="103"/>
      <c r="B7" s="182"/>
      <c r="C7" s="182"/>
      <c r="D7" s="182"/>
      <c r="E7" s="182"/>
    </row>
    <row r="8" spans="1:5" ht="13.5" thickBot="1">
      <c r="A8" s="183"/>
      <c r="C8" s="114"/>
      <c r="D8" s="114"/>
      <c r="E8" s="114" t="s">
        <v>4</v>
      </c>
    </row>
    <row r="9" spans="2:191" ht="18.75" customHeight="1">
      <c r="B9" s="846" t="s">
        <v>5</v>
      </c>
      <c r="C9" s="184" t="s">
        <v>6</v>
      </c>
      <c r="D9" s="184" t="s">
        <v>7</v>
      </c>
      <c r="E9" s="185" t="s">
        <v>8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</row>
    <row r="10" spans="2:191" ht="13.5" customHeight="1" thickBot="1">
      <c r="B10" s="847"/>
      <c r="C10" s="187" t="s">
        <v>9</v>
      </c>
      <c r="D10" s="187" t="s">
        <v>9</v>
      </c>
      <c r="E10" s="188" t="s">
        <v>9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</row>
    <row r="11" spans="2:191" ht="13.5" thickTop="1">
      <c r="B11" s="189" t="s">
        <v>10</v>
      </c>
      <c r="C11" s="190">
        <v>278551</v>
      </c>
      <c r="D11" s="190">
        <v>277976.2</v>
      </c>
      <c r="E11" s="191">
        <v>230947.6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</row>
    <row r="12" spans="2:191" ht="12.75">
      <c r="B12" s="192" t="s">
        <v>11</v>
      </c>
      <c r="C12" s="193">
        <v>59076.1</v>
      </c>
      <c r="D12" s="193">
        <v>60421.4</v>
      </c>
      <c r="E12" s="194">
        <v>56300.9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</row>
    <row r="13" spans="2:191" ht="12.75">
      <c r="B13" s="192" t="s">
        <v>12</v>
      </c>
      <c r="C13" s="193">
        <v>12871</v>
      </c>
      <c r="D13" s="193">
        <v>12871</v>
      </c>
      <c r="E13" s="194">
        <v>4820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</row>
    <row r="14" spans="2:191" ht="12.75">
      <c r="B14" s="195" t="s">
        <v>13</v>
      </c>
      <c r="C14" s="193">
        <v>84439</v>
      </c>
      <c r="D14" s="193">
        <v>84416.8</v>
      </c>
      <c r="E14" s="194">
        <f>460703.9-419546.6</f>
        <v>41157.30000000005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</row>
    <row r="15" spans="2:191" ht="19.5" customHeight="1" thickBot="1">
      <c r="B15" s="196" t="s">
        <v>14</v>
      </c>
      <c r="C15" s="197">
        <f>SUM(C11:C14)</f>
        <v>434937.1</v>
      </c>
      <c r="D15" s="197">
        <f>SUM(D11:D14)</f>
        <v>435685.4</v>
      </c>
      <c r="E15" s="198">
        <f>SUM(E11:E14)</f>
        <v>333225.80000000005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</row>
    <row r="16" spans="2:191" ht="13.5" thickTop="1">
      <c r="B16" s="199"/>
      <c r="C16" s="2"/>
      <c r="D16" s="2"/>
      <c r="E16" s="3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</row>
    <row r="17" spans="1:191" ht="12.75">
      <c r="A17" s="186"/>
      <c r="B17" s="192" t="s">
        <v>15</v>
      </c>
      <c r="C17" s="193">
        <v>355833.5</v>
      </c>
      <c r="D17" s="193">
        <v>386058.8</v>
      </c>
      <c r="E17" s="194">
        <f>690021.1-419546.6</f>
        <v>270474.5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</row>
    <row r="18" spans="1:213" s="200" customFormat="1" ht="12.75">
      <c r="A18" s="186"/>
      <c r="B18" s="195" t="s">
        <v>16</v>
      </c>
      <c r="C18" s="193">
        <v>136705</v>
      </c>
      <c r="D18" s="193">
        <v>150837.4</v>
      </c>
      <c r="E18" s="194">
        <v>23092.5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</row>
    <row r="19" spans="1:191" ht="19.5" customHeight="1" thickBot="1">
      <c r="A19" s="186"/>
      <c r="B19" s="196" t="s">
        <v>17</v>
      </c>
      <c r="C19" s="197">
        <f>SUM(C17:C18)</f>
        <v>492538.5</v>
      </c>
      <c r="D19" s="197">
        <f>SUM(D17:D18)</f>
        <v>536896.2</v>
      </c>
      <c r="E19" s="198">
        <f>SUM(E17:E18)</f>
        <v>293567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</row>
    <row r="20" spans="2:191" ht="13.5" thickTop="1">
      <c r="B20" s="201"/>
      <c r="C20" s="202"/>
      <c r="D20" s="202"/>
      <c r="E20" s="203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</row>
    <row r="21" spans="2:191" ht="12.75">
      <c r="B21" s="1" t="s">
        <v>18</v>
      </c>
      <c r="C21" s="2"/>
      <c r="D21" s="2"/>
      <c r="E21" s="3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</row>
    <row r="22" spans="2:5" ht="12.75">
      <c r="B22" s="1" t="s">
        <v>19</v>
      </c>
      <c r="C22" s="4"/>
      <c r="D22" s="4"/>
      <c r="E22" s="5">
        <v>39658.8</v>
      </c>
    </row>
    <row r="23" spans="2:5" ht="15" customHeight="1" thickBot="1">
      <c r="B23" s="204" t="s">
        <v>20</v>
      </c>
      <c r="C23" s="6">
        <v>57601.4</v>
      </c>
      <c r="D23" s="6">
        <v>101210.8</v>
      </c>
      <c r="E23" s="7"/>
    </row>
    <row r="26" ht="12.75">
      <c r="B26" s="11" t="s">
        <v>21</v>
      </c>
    </row>
    <row r="27" spans="2:5" ht="12.75">
      <c r="B27" s="11" t="s">
        <v>22</v>
      </c>
      <c r="C27" s="11"/>
      <c r="D27" s="11"/>
      <c r="E27" s="11"/>
    </row>
    <row r="28" spans="2:5" ht="15">
      <c r="B28" s="11"/>
      <c r="C28" s="205"/>
      <c r="D28" s="205"/>
      <c r="E28" s="205"/>
    </row>
  </sheetData>
  <sheetProtection/>
  <mergeCells count="2">
    <mergeCell ref="A6:E6"/>
    <mergeCell ref="B9:B10"/>
  </mergeCells>
  <printOptions/>
  <pageMargins left="0.472440944881889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7.7109375" style="108" customWidth="1"/>
    <col min="2" max="2" width="17.28125" style="108" customWidth="1"/>
    <col min="3" max="4" width="0" style="108" hidden="1" customWidth="1"/>
    <col min="5" max="5" width="9.140625" style="576" customWidth="1"/>
    <col min="6" max="8" width="0" style="108" hidden="1" customWidth="1"/>
    <col min="9" max="10" width="0" style="496" hidden="1" customWidth="1"/>
    <col min="11" max="11" width="11.57421875" style="496" customWidth="1"/>
    <col min="12" max="12" width="11.421875" style="496" customWidth="1"/>
    <col min="13" max="13" width="9.8515625" style="496" customWidth="1"/>
    <col min="14" max="14" width="9.140625" style="496" customWidth="1"/>
    <col min="15" max="15" width="9.28125" style="496" customWidth="1"/>
    <col min="16" max="16" width="9.140625" style="496" customWidth="1"/>
    <col min="17" max="17" width="12.00390625" style="496" customWidth="1"/>
    <col min="18" max="18" width="9.140625" style="478" customWidth="1"/>
    <col min="19" max="19" width="3.421875" style="496" customWidth="1"/>
    <col min="20" max="20" width="12.57421875" style="496" customWidth="1"/>
    <col min="21" max="21" width="11.8515625" style="496" customWidth="1"/>
    <col min="22" max="22" width="12.00390625" style="496" customWidth="1"/>
    <col min="23" max="16384" width="9.140625" style="108" customWidth="1"/>
  </cols>
  <sheetData>
    <row r="1" spans="1:22" ht="18">
      <c r="A1" s="1050" t="s">
        <v>665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902"/>
      <c r="L3" s="897"/>
      <c r="M3" s="897"/>
    </row>
    <row r="4" spans="1:13" ht="13.5" thickBot="1">
      <c r="A4" s="1053"/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898" t="s">
        <v>492</v>
      </c>
      <c r="B5" s="899" t="s">
        <v>706</v>
      </c>
      <c r="C5" s="1124"/>
      <c r="D5" s="1124"/>
      <c r="E5" s="1125"/>
      <c r="F5" s="1124"/>
      <c r="G5" s="1126"/>
      <c r="H5" s="1124"/>
      <c r="I5" s="1127"/>
      <c r="J5" s="1123"/>
      <c r="K5" s="1123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1054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4" t="s">
        <v>667</v>
      </c>
      <c r="I7" s="1128" t="s">
        <v>668</v>
      </c>
      <c r="J7" s="1128" t="s">
        <v>669</v>
      </c>
      <c r="K7" s="1055" t="s">
        <v>670</v>
      </c>
      <c r="L7" s="1055"/>
      <c r="M7" s="908" t="s">
        <v>495</v>
      </c>
      <c r="N7" s="908"/>
      <c r="O7" s="908"/>
      <c r="P7" s="908"/>
      <c r="Q7" s="1056" t="s">
        <v>671</v>
      </c>
      <c r="R7" s="1057" t="s">
        <v>497</v>
      </c>
      <c r="T7" s="907" t="s">
        <v>672</v>
      </c>
      <c r="U7" s="907"/>
      <c r="V7" s="907"/>
    </row>
    <row r="8" spans="1:22" ht="13.5" thickBot="1">
      <c r="A8" s="1054"/>
      <c r="B8" s="904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4"/>
      <c r="I8" s="1128"/>
      <c r="J8" s="1128"/>
      <c r="K8" s="912" t="s">
        <v>31</v>
      </c>
      <c r="L8" s="912" t="s">
        <v>32</v>
      </c>
      <c r="M8" s="913" t="s">
        <v>508</v>
      </c>
      <c r="N8" s="1058" t="s">
        <v>511</v>
      </c>
      <c r="O8" s="914" t="s">
        <v>514</v>
      </c>
      <c r="P8" s="915" t="s">
        <v>517</v>
      </c>
      <c r="Q8" s="912" t="s">
        <v>518</v>
      </c>
      <c r="R8" s="1059" t="s">
        <v>519</v>
      </c>
      <c r="T8" s="1060" t="s">
        <v>676</v>
      </c>
      <c r="U8" s="1061" t="s">
        <v>677</v>
      </c>
      <c r="V8" s="1061" t="s">
        <v>678</v>
      </c>
    </row>
    <row r="9" spans="1:22" ht="12.75">
      <c r="A9" s="918" t="s">
        <v>520</v>
      </c>
      <c r="B9" s="599"/>
      <c r="C9" s="600">
        <v>104</v>
      </c>
      <c r="D9" s="600">
        <v>104</v>
      </c>
      <c r="E9" s="546"/>
      <c r="F9" s="1062">
        <v>12</v>
      </c>
      <c r="G9" s="1062">
        <v>12</v>
      </c>
      <c r="H9" s="1062">
        <v>12</v>
      </c>
      <c r="I9" s="928">
        <v>14</v>
      </c>
      <c r="J9" s="928">
        <v>19</v>
      </c>
      <c r="K9" s="946"/>
      <c r="L9" s="946"/>
      <c r="M9" s="1063">
        <v>19</v>
      </c>
      <c r="N9" s="944">
        <f>T9</f>
        <v>19</v>
      </c>
      <c r="O9" s="1129">
        <f>U9</f>
        <v>19</v>
      </c>
      <c r="P9" s="923"/>
      <c r="Q9" s="1066" t="s">
        <v>521</v>
      </c>
      <c r="R9" s="1067" t="s">
        <v>521</v>
      </c>
      <c r="S9" s="1068"/>
      <c r="T9" s="1069">
        <v>19</v>
      </c>
      <c r="U9" s="928">
        <v>19</v>
      </c>
      <c r="V9" s="929"/>
    </row>
    <row r="10" spans="1:22" ht="13.5" thickBot="1">
      <c r="A10" s="930" t="s">
        <v>522</v>
      </c>
      <c r="B10" s="606"/>
      <c r="C10" s="607">
        <v>101</v>
      </c>
      <c r="D10" s="607">
        <v>104</v>
      </c>
      <c r="E10" s="608"/>
      <c r="F10" s="1070">
        <v>11</v>
      </c>
      <c r="G10" s="1070">
        <v>11</v>
      </c>
      <c r="H10" s="1070">
        <v>11</v>
      </c>
      <c r="I10" s="938">
        <v>13</v>
      </c>
      <c r="J10" s="938">
        <v>14</v>
      </c>
      <c r="K10" s="933"/>
      <c r="L10" s="933"/>
      <c r="M10" s="861">
        <v>14</v>
      </c>
      <c r="N10" s="935">
        <f aca="true" t="shared" si="0" ref="N10:O21">T10</f>
        <v>14</v>
      </c>
      <c r="O10" s="1130">
        <f t="shared" si="0"/>
        <v>14</v>
      </c>
      <c r="P10" s="956"/>
      <c r="Q10" s="933" t="s">
        <v>521</v>
      </c>
      <c r="R10" s="1072" t="s">
        <v>521</v>
      </c>
      <c r="S10" s="1068"/>
      <c r="T10" s="1073">
        <v>14</v>
      </c>
      <c r="U10" s="938">
        <v>14</v>
      </c>
      <c r="V10" s="936"/>
    </row>
    <row r="11" spans="1:22" ht="12.75">
      <c r="A11" s="939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1032">
        <v>1917.09</v>
      </c>
      <c r="G11" s="1032">
        <v>2153</v>
      </c>
      <c r="H11" s="1032">
        <v>2189</v>
      </c>
      <c r="I11" s="947">
        <v>2238</v>
      </c>
      <c r="J11" s="947">
        <v>2554</v>
      </c>
      <c r="K11" s="945" t="s">
        <v>521</v>
      </c>
      <c r="L11" s="945" t="s">
        <v>521</v>
      </c>
      <c r="M11" s="865">
        <v>2554</v>
      </c>
      <c r="N11" s="1009">
        <f t="shared" si="0"/>
        <v>2554</v>
      </c>
      <c r="O11" s="944">
        <f t="shared" si="0"/>
        <v>2554</v>
      </c>
      <c r="P11" s="984"/>
      <c r="Q11" s="948" t="s">
        <v>521</v>
      </c>
      <c r="R11" s="1075" t="s">
        <v>521</v>
      </c>
      <c r="S11" s="1068"/>
      <c r="T11" s="1069">
        <v>2554</v>
      </c>
      <c r="U11" s="947">
        <v>2554</v>
      </c>
      <c r="V11" s="948"/>
    </row>
    <row r="12" spans="1:22" ht="12.75">
      <c r="A12" s="949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1032">
        <v>-1826.76</v>
      </c>
      <c r="G12" s="1032">
        <v>-2062</v>
      </c>
      <c r="H12" s="1032">
        <v>2134</v>
      </c>
      <c r="I12" s="947">
        <v>2219</v>
      </c>
      <c r="J12" s="947">
        <v>2544</v>
      </c>
      <c r="K12" s="952" t="s">
        <v>521</v>
      </c>
      <c r="L12" s="952" t="s">
        <v>521</v>
      </c>
      <c r="M12" s="867">
        <v>2544</v>
      </c>
      <c r="N12" s="1014">
        <f t="shared" si="0"/>
        <v>2544</v>
      </c>
      <c r="O12" s="951">
        <f t="shared" si="0"/>
        <v>2544</v>
      </c>
      <c r="P12" s="993"/>
      <c r="Q12" s="948" t="s">
        <v>521</v>
      </c>
      <c r="R12" s="1075" t="s">
        <v>521</v>
      </c>
      <c r="S12" s="1068"/>
      <c r="T12" s="1032">
        <v>2544</v>
      </c>
      <c r="U12" s="947">
        <v>2544</v>
      </c>
      <c r="V12" s="948"/>
    </row>
    <row r="13" spans="1:22" ht="12.75">
      <c r="A13" s="949" t="s">
        <v>529</v>
      </c>
      <c r="B13" s="629" t="s">
        <v>679</v>
      </c>
      <c r="C13" s="630">
        <v>604</v>
      </c>
      <c r="D13" s="630">
        <v>619</v>
      </c>
      <c r="E13" s="618" t="s">
        <v>531</v>
      </c>
      <c r="F13" s="1032">
        <v>0</v>
      </c>
      <c r="G13" s="1032">
        <v>0</v>
      </c>
      <c r="H13" s="1032">
        <v>0</v>
      </c>
      <c r="I13" s="947">
        <v>0</v>
      </c>
      <c r="J13" s="947">
        <v>0</v>
      </c>
      <c r="K13" s="952" t="s">
        <v>521</v>
      </c>
      <c r="L13" s="952" t="s">
        <v>521</v>
      </c>
      <c r="M13" s="867">
        <v>0</v>
      </c>
      <c r="N13" s="1014">
        <f t="shared" si="0"/>
        <v>0</v>
      </c>
      <c r="O13" s="951">
        <f t="shared" si="0"/>
        <v>0</v>
      </c>
      <c r="P13" s="993"/>
      <c r="Q13" s="948" t="s">
        <v>521</v>
      </c>
      <c r="R13" s="1075" t="s">
        <v>521</v>
      </c>
      <c r="S13" s="1068"/>
      <c r="T13" s="1032">
        <v>0</v>
      </c>
      <c r="U13" s="947">
        <v>0</v>
      </c>
      <c r="V13" s="948"/>
    </row>
    <row r="14" spans="1:22" ht="12.75">
      <c r="A14" s="949" t="s">
        <v>532</v>
      </c>
      <c r="B14" s="629" t="s">
        <v>680</v>
      </c>
      <c r="C14" s="630">
        <v>221</v>
      </c>
      <c r="D14" s="630">
        <v>610</v>
      </c>
      <c r="E14" s="618" t="s">
        <v>521</v>
      </c>
      <c r="F14" s="1032">
        <v>65</v>
      </c>
      <c r="G14" s="1032">
        <v>600</v>
      </c>
      <c r="H14" s="1032">
        <v>742</v>
      </c>
      <c r="I14" s="947">
        <v>735</v>
      </c>
      <c r="J14" s="947">
        <v>754</v>
      </c>
      <c r="K14" s="952" t="s">
        <v>521</v>
      </c>
      <c r="L14" s="952" t="s">
        <v>521</v>
      </c>
      <c r="M14" s="867">
        <v>1736</v>
      </c>
      <c r="N14" s="1014">
        <f t="shared" si="0"/>
        <v>1419</v>
      </c>
      <c r="O14" s="951">
        <f t="shared" si="0"/>
        <v>1058</v>
      </c>
      <c r="P14" s="993"/>
      <c r="Q14" s="948" t="s">
        <v>521</v>
      </c>
      <c r="R14" s="1075" t="s">
        <v>521</v>
      </c>
      <c r="S14" s="1068"/>
      <c r="T14" s="1032">
        <v>1419</v>
      </c>
      <c r="U14" s="947">
        <v>1058</v>
      </c>
      <c r="V14" s="948"/>
    </row>
    <row r="15" spans="1:22" ht="13.5" thickBot="1">
      <c r="A15" s="918" t="s">
        <v>534</v>
      </c>
      <c r="B15" s="634" t="s">
        <v>681</v>
      </c>
      <c r="C15" s="635">
        <v>2021</v>
      </c>
      <c r="D15" s="635">
        <v>852</v>
      </c>
      <c r="E15" s="550" t="s">
        <v>536</v>
      </c>
      <c r="F15" s="1033">
        <v>435.36</v>
      </c>
      <c r="G15" s="1033">
        <v>744</v>
      </c>
      <c r="H15" s="1033">
        <v>685</v>
      </c>
      <c r="I15" s="959">
        <v>782</v>
      </c>
      <c r="J15" s="959">
        <v>867</v>
      </c>
      <c r="K15" s="957" t="s">
        <v>521</v>
      </c>
      <c r="L15" s="957" t="s">
        <v>521</v>
      </c>
      <c r="M15" s="858">
        <v>1754</v>
      </c>
      <c r="N15" s="1018">
        <f t="shared" si="0"/>
        <v>0</v>
      </c>
      <c r="O15" s="955">
        <f t="shared" si="0"/>
        <v>2052</v>
      </c>
      <c r="P15" s="1002"/>
      <c r="Q15" s="960" t="s">
        <v>521</v>
      </c>
      <c r="R15" s="1067" t="s">
        <v>521</v>
      </c>
      <c r="S15" s="1068"/>
      <c r="T15" s="1070">
        <v>0</v>
      </c>
      <c r="U15" s="959">
        <v>2052</v>
      </c>
      <c r="V15" s="960"/>
    </row>
    <row r="16" spans="1:22" ht="15.75" thickBot="1">
      <c r="A16" s="961" t="s">
        <v>537</v>
      </c>
      <c r="B16" s="641"/>
      <c r="C16" s="642">
        <v>24618</v>
      </c>
      <c r="D16" s="642">
        <v>24087</v>
      </c>
      <c r="E16" s="643"/>
      <c r="F16" s="1023">
        <v>610</v>
      </c>
      <c r="G16" s="1023">
        <v>1441</v>
      </c>
      <c r="H16" s="1023">
        <v>1482</v>
      </c>
      <c r="I16" s="969">
        <v>1536</v>
      </c>
      <c r="J16" s="1084">
        <f>J11-J12+J13+J14+J15</f>
        <v>1631</v>
      </c>
      <c r="K16" s="967" t="s">
        <v>521</v>
      </c>
      <c r="L16" s="966" t="s">
        <v>521</v>
      </c>
      <c r="M16" s="966">
        <f>M11-M12+M13+M14+M15</f>
        <v>3500</v>
      </c>
      <c r="N16" s="1131">
        <f t="shared" si="0"/>
        <v>3886</v>
      </c>
      <c r="O16" s="1132">
        <f t="shared" si="0"/>
        <v>3119</v>
      </c>
      <c r="P16" s="1082"/>
      <c r="Q16" s="929" t="s">
        <v>521</v>
      </c>
      <c r="R16" s="1133" t="s">
        <v>521</v>
      </c>
      <c r="S16" s="1068"/>
      <c r="T16" s="1084">
        <v>3886</v>
      </c>
      <c r="U16" s="1084">
        <v>3119</v>
      </c>
      <c r="V16" s="1084">
        <v>0</v>
      </c>
    </row>
    <row r="17" spans="1:22" ht="12.75">
      <c r="A17" s="91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1033">
        <v>90</v>
      </c>
      <c r="G17" s="1033">
        <v>90</v>
      </c>
      <c r="H17" s="920">
        <v>55</v>
      </c>
      <c r="I17" s="959">
        <v>19</v>
      </c>
      <c r="J17" s="959">
        <v>10</v>
      </c>
      <c r="K17" s="942" t="s">
        <v>521</v>
      </c>
      <c r="L17" s="942" t="s">
        <v>521</v>
      </c>
      <c r="M17" s="858">
        <v>10</v>
      </c>
      <c r="N17" s="1009">
        <f t="shared" si="0"/>
        <v>10</v>
      </c>
      <c r="O17" s="944">
        <f>U17</f>
        <v>10</v>
      </c>
      <c r="P17" s="984"/>
      <c r="Q17" s="929" t="s">
        <v>521</v>
      </c>
      <c r="R17" s="1133" t="s">
        <v>521</v>
      </c>
      <c r="S17" s="1068"/>
      <c r="T17" s="1031">
        <v>10</v>
      </c>
      <c r="U17" s="959">
        <v>10</v>
      </c>
      <c r="V17" s="960"/>
    </row>
    <row r="18" spans="1:22" ht="12.75">
      <c r="A18" s="949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1032">
        <v>196</v>
      </c>
      <c r="G18" s="1032">
        <v>270</v>
      </c>
      <c r="H18" s="940">
        <v>436</v>
      </c>
      <c r="I18" s="947">
        <v>373</v>
      </c>
      <c r="J18" s="947">
        <v>326</v>
      </c>
      <c r="K18" s="864" t="s">
        <v>521</v>
      </c>
      <c r="L18" s="864" t="s">
        <v>521</v>
      </c>
      <c r="M18" s="867">
        <v>329</v>
      </c>
      <c r="N18" s="1014">
        <f t="shared" si="0"/>
        <v>395</v>
      </c>
      <c r="O18" s="951">
        <f>U18</f>
        <v>404</v>
      </c>
      <c r="P18" s="993"/>
      <c r="Q18" s="948" t="s">
        <v>521</v>
      </c>
      <c r="R18" s="1075" t="s">
        <v>521</v>
      </c>
      <c r="S18" s="1068"/>
      <c r="T18" s="1032">
        <v>395</v>
      </c>
      <c r="U18" s="947">
        <v>404</v>
      </c>
      <c r="V18" s="948"/>
    </row>
    <row r="19" spans="1:22" ht="12.75">
      <c r="A19" s="949" t="s">
        <v>543</v>
      </c>
      <c r="B19" s="629" t="s">
        <v>682</v>
      </c>
      <c r="C19" s="630">
        <v>14718</v>
      </c>
      <c r="D19" s="630">
        <v>14718</v>
      </c>
      <c r="E19" s="618" t="s">
        <v>521</v>
      </c>
      <c r="F19" s="1032">
        <v>0</v>
      </c>
      <c r="G19" s="1032">
        <v>0</v>
      </c>
      <c r="H19" s="940">
        <v>0</v>
      </c>
      <c r="I19" s="947">
        <v>0</v>
      </c>
      <c r="J19" s="947">
        <v>0</v>
      </c>
      <c r="K19" s="864" t="s">
        <v>521</v>
      </c>
      <c r="L19" s="864" t="s">
        <v>521</v>
      </c>
      <c r="M19" s="867">
        <v>0</v>
      </c>
      <c r="N19" s="1014">
        <f t="shared" si="0"/>
        <v>0</v>
      </c>
      <c r="O19" s="951">
        <f>U19</f>
        <v>0</v>
      </c>
      <c r="P19" s="993"/>
      <c r="Q19" s="948" t="s">
        <v>521</v>
      </c>
      <c r="R19" s="1075" t="s">
        <v>521</v>
      </c>
      <c r="S19" s="1068"/>
      <c r="T19" s="1032">
        <v>0</v>
      </c>
      <c r="U19" s="947">
        <v>0</v>
      </c>
      <c r="V19" s="948"/>
    </row>
    <row r="20" spans="1:22" ht="12.75">
      <c r="A20" s="949" t="s">
        <v>545</v>
      </c>
      <c r="B20" s="629" t="s">
        <v>544</v>
      </c>
      <c r="C20" s="630">
        <v>1758</v>
      </c>
      <c r="D20" s="630">
        <v>1762</v>
      </c>
      <c r="E20" s="618" t="s">
        <v>521</v>
      </c>
      <c r="F20" s="1032">
        <v>206</v>
      </c>
      <c r="G20" s="1032">
        <v>323</v>
      </c>
      <c r="H20" s="940">
        <v>987</v>
      </c>
      <c r="I20" s="947">
        <v>1088</v>
      </c>
      <c r="J20" s="947">
        <v>1235</v>
      </c>
      <c r="K20" s="864" t="s">
        <v>521</v>
      </c>
      <c r="L20" s="1134" t="s">
        <v>521</v>
      </c>
      <c r="M20" s="867">
        <v>2703</v>
      </c>
      <c r="N20" s="1014">
        <f t="shared" si="0"/>
        <v>2670</v>
      </c>
      <c r="O20" s="951">
        <f>U20</f>
        <v>1835</v>
      </c>
      <c r="P20" s="993"/>
      <c r="Q20" s="948" t="s">
        <v>521</v>
      </c>
      <c r="R20" s="1075" t="s">
        <v>521</v>
      </c>
      <c r="S20" s="1068"/>
      <c r="T20" s="1032">
        <v>2670</v>
      </c>
      <c r="U20" s="947">
        <v>1835</v>
      </c>
      <c r="V20" s="948"/>
    </row>
    <row r="21" spans="1:22" ht="13.5" thickBot="1">
      <c r="A21" s="930" t="s">
        <v>547</v>
      </c>
      <c r="B21" s="653"/>
      <c r="C21" s="654">
        <v>0</v>
      </c>
      <c r="D21" s="654">
        <v>0</v>
      </c>
      <c r="E21" s="655" t="s">
        <v>521</v>
      </c>
      <c r="F21" s="1032">
        <v>0</v>
      </c>
      <c r="G21" s="1032">
        <v>0</v>
      </c>
      <c r="H21" s="940">
        <v>0</v>
      </c>
      <c r="I21" s="1052">
        <v>0</v>
      </c>
      <c r="J21" s="1052">
        <v>0</v>
      </c>
      <c r="K21" s="860" t="s">
        <v>521</v>
      </c>
      <c r="L21" s="1135" t="s">
        <v>521</v>
      </c>
      <c r="M21" s="873">
        <v>0</v>
      </c>
      <c r="N21" s="1018">
        <f t="shared" si="0"/>
        <v>0</v>
      </c>
      <c r="O21" s="935">
        <f>U21</f>
        <v>0</v>
      </c>
      <c r="P21" s="1002"/>
      <c r="Q21" s="977" t="s">
        <v>521</v>
      </c>
      <c r="R21" s="1087" t="s">
        <v>521</v>
      </c>
      <c r="S21" s="1068"/>
      <c r="T21" s="1073">
        <v>0</v>
      </c>
      <c r="U21" s="1052">
        <v>0</v>
      </c>
      <c r="V21" s="977"/>
    </row>
    <row r="22" spans="1:22" ht="15">
      <c r="A22" s="97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1069">
        <v>3970</v>
      </c>
      <c r="G22" s="1069">
        <v>4259</v>
      </c>
      <c r="H22" s="979">
        <v>3835</v>
      </c>
      <c r="I22" s="875">
        <v>4173</v>
      </c>
      <c r="J22" s="875">
        <v>6057.9</v>
      </c>
      <c r="K22" s="1100">
        <f>K35</f>
        <v>7375</v>
      </c>
      <c r="L22" s="1100">
        <f>L35</f>
        <v>7375</v>
      </c>
      <c r="M22" s="980">
        <v>2000</v>
      </c>
      <c r="N22" s="1136">
        <f>T22-M22</f>
        <v>1792</v>
      </c>
      <c r="O22" s="983">
        <f>U22-T22</f>
        <v>1947</v>
      </c>
      <c r="P22" s="1112"/>
      <c r="Q22" s="1137">
        <f>SUM(M22:P22)</f>
        <v>5739</v>
      </c>
      <c r="R22" s="1138">
        <f>(Q22/L22)*100</f>
        <v>77.81694915254236</v>
      </c>
      <c r="S22" s="1068"/>
      <c r="T22" s="1069">
        <v>3792</v>
      </c>
      <c r="U22" s="1090">
        <v>5739</v>
      </c>
      <c r="V22" s="875"/>
    </row>
    <row r="23" spans="1:22" ht="15">
      <c r="A23" s="949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1032">
        <v>43</v>
      </c>
      <c r="G23" s="1032"/>
      <c r="H23" s="940">
        <v>0</v>
      </c>
      <c r="I23" s="877"/>
      <c r="J23" s="877">
        <v>0</v>
      </c>
      <c r="K23" s="991"/>
      <c r="L23" s="1092"/>
      <c r="M23" s="989"/>
      <c r="N23" s="1139">
        <f aca="true" t="shared" si="1" ref="N23:N40">T23-M23</f>
        <v>0</v>
      </c>
      <c r="O23" s="992">
        <f aca="true" t="shared" si="2" ref="O23:O40">U23-T23</f>
        <v>0</v>
      </c>
      <c r="P23" s="943"/>
      <c r="Q23" s="1140">
        <f aca="true" t="shared" si="3" ref="Q23:Q45">SUM(M23:P23)</f>
        <v>0</v>
      </c>
      <c r="R23" s="1141" t="e">
        <f aca="true" t="shared" si="4" ref="R23:R45">(Q23/L23)*100</f>
        <v>#DIV/0!</v>
      </c>
      <c r="S23" s="1068"/>
      <c r="T23" s="1032">
        <v>0</v>
      </c>
      <c r="U23" s="1094">
        <v>0</v>
      </c>
      <c r="V23" s="877"/>
    </row>
    <row r="24" spans="1:22" ht="15.75" thickBot="1">
      <c r="A24" s="930" t="s">
        <v>553</v>
      </c>
      <c r="B24" s="653" t="s">
        <v>552</v>
      </c>
      <c r="C24" s="654">
        <v>0</v>
      </c>
      <c r="D24" s="654">
        <v>1215</v>
      </c>
      <c r="E24" s="558">
        <v>672</v>
      </c>
      <c r="F24" s="1095">
        <v>1636</v>
      </c>
      <c r="G24" s="1095">
        <v>1845</v>
      </c>
      <c r="H24" s="998">
        <v>1300</v>
      </c>
      <c r="I24" s="880">
        <v>1450</v>
      </c>
      <c r="J24" s="880">
        <v>2000</v>
      </c>
      <c r="K24" s="1142">
        <f>SUM(K25:K29)</f>
        <v>2000</v>
      </c>
      <c r="L24" s="1142">
        <f>SUM(L25:L29)</f>
        <v>2000</v>
      </c>
      <c r="M24" s="1097">
        <v>2000</v>
      </c>
      <c r="N24" s="1143">
        <f t="shared" si="1"/>
        <v>-998</v>
      </c>
      <c r="O24" s="1001">
        <f t="shared" si="2"/>
        <v>501</v>
      </c>
      <c r="P24" s="934"/>
      <c r="Q24" s="1144">
        <f t="shared" si="3"/>
        <v>1503</v>
      </c>
      <c r="R24" s="1145">
        <f t="shared" si="4"/>
        <v>75.14999999999999</v>
      </c>
      <c r="S24" s="1068"/>
      <c r="T24" s="1070">
        <v>1002</v>
      </c>
      <c r="U24" s="1099">
        <v>1503</v>
      </c>
      <c r="V24" s="880"/>
    </row>
    <row r="25" spans="1:22" ht="15">
      <c r="A25" s="939" t="s">
        <v>554</v>
      </c>
      <c r="B25" s="616" t="s">
        <v>683</v>
      </c>
      <c r="C25" s="617">
        <v>6341</v>
      </c>
      <c r="D25" s="617">
        <v>6960</v>
      </c>
      <c r="E25" s="554">
        <v>501</v>
      </c>
      <c r="F25" s="1032">
        <v>355</v>
      </c>
      <c r="G25" s="1032">
        <v>628</v>
      </c>
      <c r="H25" s="863">
        <v>156</v>
      </c>
      <c r="I25" s="882">
        <v>399</v>
      </c>
      <c r="J25" s="882">
        <v>910</v>
      </c>
      <c r="K25" s="1100">
        <v>200</v>
      </c>
      <c r="L25" s="1100">
        <v>200</v>
      </c>
      <c r="M25" s="1100">
        <v>48</v>
      </c>
      <c r="N25" s="1139">
        <f t="shared" si="1"/>
        <v>112</v>
      </c>
      <c r="O25" s="983">
        <f t="shared" si="2"/>
        <v>161</v>
      </c>
      <c r="P25" s="984"/>
      <c r="Q25" s="985">
        <f t="shared" si="3"/>
        <v>321</v>
      </c>
      <c r="R25" s="1146">
        <f t="shared" si="4"/>
        <v>160.5</v>
      </c>
      <c r="S25" s="1068"/>
      <c r="T25" s="1031">
        <v>160</v>
      </c>
      <c r="U25" s="1102">
        <v>321</v>
      </c>
      <c r="V25" s="882"/>
    </row>
    <row r="26" spans="1:22" ht="15">
      <c r="A26" s="949" t="s">
        <v>556</v>
      </c>
      <c r="B26" s="629" t="s">
        <v>684</v>
      </c>
      <c r="C26" s="630">
        <v>1745</v>
      </c>
      <c r="D26" s="630">
        <v>2223</v>
      </c>
      <c r="E26" s="556">
        <v>502</v>
      </c>
      <c r="F26" s="1032">
        <v>600</v>
      </c>
      <c r="G26" s="1032">
        <v>799</v>
      </c>
      <c r="H26" s="863">
        <v>802</v>
      </c>
      <c r="I26" s="877">
        <v>756</v>
      </c>
      <c r="J26" s="877">
        <v>772</v>
      </c>
      <c r="K26" s="991">
        <v>950</v>
      </c>
      <c r="L26" s="991">
        <v>950</v>
      </c>
      <c r="M26" s="991">
        <v>182</v>
      </c>
      <c r="N26" s="1139">
        <f t="shared" si="1"/>
        <v>126</v>
      </c>
      <c r="O26" s="992">
        <f t="shared" si="2"/>
        <v>110</v>
      </c>
      <c r="P26" s="993"/>
      <c r="Q26" s="994">
        <f t="shared" si="3"/>
        <v>418</v>
      </c>
      <c r="R26" s="995">
        <f t="shared" si="4"/>
        <v>44</v>
      </c>
      <c r="S26" s="1068"/>
      <c r="T26" s="1032">
        <v>308</v>
      </c>
      <c r="U26" s="1094">
        <v>418</v>
      </c>
      <c r="V26" s="877"/>
    </row>
    <row r="27" spans="1:22" ht="15">
      <c r="A27" s="949" t="s">
        <v>558</v>
      </c>
      <c r="B27" s="629" t="s">
        <v>685</v>
      </c>
      <c r="C27" s="630">
        <v>0</v>
      </c>
      <c r="D27" s="630">
        <v>0</v>
      </c>
      <c r="E27" s="556">
        <v>504</v>
      </c>
      <c r="F27" s="1032">
        <v>0</v>
      </c>
      <c r="G27" s="1032">
        <v>0</v>
      </c>
      <c r="H27" s="863">
        <v>0</v>
      </c>
      <c r="I27" s="877">
        <v>0</v>
      </c>
      <c r="J27" s="877">
        <v>0</v>
      </c>
      <c r="K27" s="991"/>
      <c r="L27" s="991"/>
      <c r="M27" s="991">
        <v>0</v>
      </c>
      <c r="N27" s="1139">
        <f t="shared" si="1"/>
        <v>0</v>
      </c>
      <c r="O27" s="992">
        <f t="shared" si="2"/>
        <v>0</v>
      </c>
      <c r="P27" s="993"/>
      <c r="Q27" s="994">
        <f t="shared" si="3"/>
        <v>0</v>
      </c>
      <c r="R27" s="995" t="e">
        <f t="shared" si="4"/>
        <v>#DIV/0!</v>
      </c>
      <c r="S27" s="1068"/>
      <c r="T27" s="1032">
        <v>0</v>
      </c>
      <c r="U27" s="1094">
        <v>0</v>
      </c>
      <c r="V27" s="877"/>
    </row>
    <row r="28" spans="1:22" ht="15">
      <c r="A28" s="949" t="s">
        <v>560</v>
      </c>
      <c r="B28" s="629" t="s">
        <v>686</v>
      </c>
      <c r="C28" s="630">
        <v>428</v>
      </c>
      <c r="D28" s="630">
        <v>253</v>
      </c>
      <c r="E28" s="556">
        <v>511</v>
      </c>
      <c r="F28" s="1032">
        <v>130</v>
      </c>
      <c r="G28" s="1032">
        <v>91</v>
      </c>
      <c r="H28" s="863">
        <v>3</v>
      </c>
      <c r="I28" s="877">
        <v>62</v>
      </c>
      <c r="J28" s="877">
        <v>111</v>
      </c>
      <c r="K28" s="991">
        <v>450</v>
      </c>
      <c r="L28" s="991">
        <v>450</v>
      </c>
      <c r="M28" s="991">
        <v>0</v>
      </c>
      <c r="N28" s="1139">
        <f t="shared" si="1"/>
        <v>0</v>
      </c>
      <c r="O28" s="992">
        <f t="shared" si="2"/>
        <v>173</v>
      </c>
      <c r="P28" s="993"/>
      <c r="Q28" s="994">
        <f t="shared" si="3"/>
        <v>173</v>
      </c>
      <c r="R28" s="995">
        <f t="shared" si="4"/>
        <v>38.44444444444444</v>
      </c>
      <c r="S28" s="1068"/>
      <c r="T28" s="1032">
        <v>0</v>
      </c>
      <c r="U28" s="1094">
        <v>173</v>
      </c>
      <c r="V28" s="877"/>
    </row>
    <row r="29" spans="1:22" ht="15">
      <c r="A29" s="949" t="s">
        <v>562</v>
      </c>
      <c r="B29" s="629" t="s">
        <v>687</v>
      </c>
      <c r="C29" s="630">
        <v>1057</v>
      </c>
      <c r="D29" s="630">
        <v>1451</v>
      </c>
      <c r="E29" s="556">
        <v>518</v>
      </c>
      <c r="F29" s="1032">
        <v>493</v>
      </c>
      <c r="G29" s="1032">
        <v>253</v>
      </c>
      <c r="H29" s="863">
        <v>271</v>
      </c>
      <c r="I29" s="877">
        <v>274</v>
      </c>
      <c r="J29" s="877">
        <v>310</v>
      </c>
      <c r="K29" s="991">
        <v>400</v>
      </c>
      <c r="L29" s="991">
        <v>400</v>
      </c>
      <c r="M29" s="991">
        <v>54</v>
      </c>
      <c r="N29" s="1139">
        <f t="shared" si="1"/>
        <v>94</v>
      </c>
      <c r="O29" s="992">
        <f t="shared" si="2"/>
        <v>49</v>
      </c>
      <c r="P29" s="993"/>
      <c r="Q29" s="994">
        <f t="shared" si="3"/>
        <v>197</v>
      </c>
      <c r="R29" s="995">
        <f t="shared" si="4"/>
        <v>49.25</v>
      </c>
      <c r="S29" s="1068"/>
      <c r="T29" s="1032">
        <v>148</v>
      </c>
      <c r="U29" s="1094">
        <v>197</v>
      </c>
      <c r="V29" s="877"/>
    </row>
    <row r="30" spans="1:22" ht="15">
      <c r="A30" s="949" t="s">
        <v>564</v>
      </c>
      <c r="B30" s="684" t="s">
        <v>688</v>
      </c>
      <c r="C30" s="630">
        <v>10408</v>
      </c>
      <c r="D30" s="630">
        <v>11792</v>
      </c>
      <c r="E30" s="556">
        <v>521</v>
      </c>
      <c r="F30" s="1032">
        <v>1899</v>
      </c>
      <c r="G30" s="1032">
        <v>2006</v>
      </c>
      <c r="H30" s="863">
        <v>2110</v>
      </c>
      <c r="I30" s="877">
        <v>2312</v>
      </c>
      <c r="J30" s="877">
        <v>3424</v>
      </c>
      <c r="K30" s="991">
        <v>3929</v>
      </c>
      <c r="L30" s="991">
        <v>3929</v>
      </c>
      <c r="M30" s="991">
        <v>1008</v>
      </c>
      <c r="N30" s="1139">
        <f t="shared" si="1"/>
        <v>1021</v>
      </c>
      <c r="O30" s="992">
        <f t="shared" si="2"/>
        <v>1130</v>
      </c>
      <c r="P30" s="993"/>
      <c r="Q30" s="994">
        <f t="shared" si="3"/>
        <v>3159</v>
      </c>
      <c r="R30" s="995">
        <f t="shared" si="4"/>
        <v>80.40213794858742</v>
      </c>
      <c r="S30" s="1068"/>
      <c r="T30" s="1032">
        <v>2029</v>
      </c>
      <c r="U30" s="1094">
        <v>3159</v>
      </c>
      <c r="V30" s="877"/>
    </row>
    <row r="31" spans="1:22" ht="15">
      <c r="A31" s="949" t="s">
        <v>566</v>
      </c>
      <c r="B31" s="684" t="s">
        <v>689</v>
      </c>
      <c r="C31" s="630">
        <v>3640</v>
      </c>
      <c r="D31" s="630">
        <v>4174</v>
      </c>
      <c r="E31" s="556" t="s">
        <v>568</v>
      </c>
      <c r="F31" s="1032">
        <v>678</v>
      </c>
      <c r="G31" s="1032">
        <v>718</v>
      </c>
      <c r="H31" s="863">
        <v>753</v>
      </c>
      <c r="I31" s="877">
        <v>815</v>
      </c>
      <c r="J31" s="877">
        <v>1194</v>
      </c>
      <c r="K31" s="991">
        <v>1375</v>
      </c>
      <c r="L31" s="991">
        <v>1375</v>
      </c>
      <c r="M31" s="991">
        <v>366</v>
      </c>
      <c r="N31" s="1139">
        <f t="shared" si="1"/>
        <v>352</v>
      </c>
      <c r="O31" s="992">
        <f t="shared" si="2"/>
        <v>393</v>
      </c>
      <c r="P31" s="993"/>
      <c r="Q31" s="994">
        <f t="shared" si="3"/>
        <v>1111</v>
      </c>
      <c r="R31" s="995">
        <f t="shared" si="4"/>
        <v>80.80000000000001</v>
      </c>
      <c r="S31" s="1068"/>
      <c r="T31" s="1032">
        <v>718</v>
      </c>
      <c r="U31" s="1094">
        <v>1111</v>
      </c>
      <c r="V31" s="877"/>
    </row>
    <row r="32" spans="1:22" ht="15">
      <c r="A32" s="949" t="s">
        <v>569</v>
      </c>
      <c r="B32" s="629" t="s">
        <v>690</v>
      </c>
      <c r="C32" s="630">
        <v>0</v>
      </c>
      <c r="D32" s="630">
        <v>0</v>
      </c>
      <c r="E32" s="556">
        <v>557</v>
      </c>
      <c r="F32" s="1032">
        <v>0</v>
      </c>
      <c r="G32" s="1032">
        <v>0</v>
      </c>
      <c r="H32" s="863">
        <v>0</v>
      </c>
      <c r="I32" s="877">
        <v>0</v>
      </c>
      <c r="J32" s="877">
        <v>0</v>
      </c>
      <c r="K32" s="991"/>
      <c r="L32" s="991"/>
      <c r="M32" s="991">
        <v>0</v>
      </c>
      <c r="N32" s="1139">
        <f t="shared" si="1"/>
        <v>0</v>
      </c>
      <c r="O32" s="992">
        <f t="shared" si="2"/>
        <v>0</v>
      </c>
      <c r="P32" s="993"/>
      <c r="Q32" s="994">
        <f t="shared" si="3"/>
        <v>0</v>
      </c>
      <c r="R32" s="995" t="e">
        <f t="shared" si="4"/>
        <v>#DIV/0!</v>
      </c>
      <c r="S32" s="1068"/>
      <c r="T32" s="1032">
        <v>0</v>
      </c>
      <c r="U32" s="1094">
        <v>0</v>
      </c>
      <c r="V32" s="877"/>
    </row>
    <row r="33" spans="1:22" ht="15">
      <c r="A33" s="949" t="s">
        <v>571</v>
      </c>
      <c r="B33" s="629" t="s">
        <v>691</v>
      </c>
      <c r="C33" s="630">
        <v>1711</v>
      </c>
      <c r="D33" s="630">
        <v>1801</v>
      </c>
      <c r="E33" s="556">
        <v>551</v>
      </c>
      <c r="F33" s="1032">
        <v>31</v>
      </c>
      <c r="G33" s="1032">
        <v>0</v>
      </c>
      <c r="H33" s="863">
        <v>36</v>
      </c>
      <c r="I33" s="877">
        <v>36</v>
      </c>
      <c r="J33" s="877">
        <v>10</v>
      </c>
      <c r="K33" s="991"/>
      <c r="L33" s="991"/>
      <c r="M33" s="991">
        <v>0</v>
      </c>
      <c r="N33" s="1139">
        <f t="shared" si="1"/>
        <v>0</v>
      </c>
      <c r="O33" s="992">
        <f t="shared" si="2"/>
        <v>0</v>
      </c>
      <c r="P33" s="993"/>
      <c r="Q33" s="994">
        <f t="shared" si="3"/>
        <v>0</v>
      </c>
      <c r="R33" s="995" t="e">
        <f t="shared" si="4"/>
        <v>#DIV/0!</v>
      </c>
      <c r="S33" s="1068"/>
      <c r="T33" s="1032">
        <v>0</v>
      </c>
      <c r="U33" s="1094">
        <v>0</v>
      </c>
      <c r="V33" s="877"/>
    </row>
    <row r="34" spans="1:22" ht="15.75" thickBot="1">
      <c r="A34" s="918" t="s">
        <v>573</v>
      </c>
      <c r="B34" s="634" t="s">
        <v>692</v>
      </c>
      <c r="C34" s="635">
        <v>569</v>
      </c>
      <c r="D34" s="635">
        <v>614</v>
      </c>
      <c r="E34" s="561" t="s">
        <v>574</v>
      </c>
      <c r="F34" s="1033">
        <v>17</v>
      </c>
      <c r="G34" s="1033">
        <v>14</v>
      </c>
      <c r="H34" s="869">
        <v>17</v>
      </c>
      <c r="I34" s="885">
        <v>14</v>
      </c>
      <c r="J34" s="885">
        <v>19</v>
      </c>
      <c r="K34" s="1104">
        <v>71</v>
      </c>
      <c r="L34" s="1104">
        <v>71</v>
      </c>
      <c r="M34" s="1034">
        <v>4</v>
      </c>
      <c r="N34" s="1139">
        <f t="shared" si="1"/>
        <v>5</v>
      </c>
      <c r="O34" s="1001">
        <f t="shared" si="2"/>
        <v>6</v>
      </c>
      <c r="P34" s="1002"/>
      <c r="Q34" s="1019">
        <f t="shared" si="3"/>
        <v>15</v>
      </c>
      <c r="R34" s="1004">
        <f t="shared" si="4"/>
        <v>21.12676056338028</v>
      </c>
      <c r="S34" s="1068"/>
      <c r="T34" s="1073">
        <v>9</v>
      </c>
      <c r="U34" s="1106">
        <v>15</v>
      </c>
      <c r="V34" s="885"/>
    </row>
    <row r="35" spans="1:22" ht="15.75" thickBot="1">
      <c r="A35" s="1022" t="s">
        <v>575</v>
      </c>
      <c r="B35" s="692" t="s">
        <v>576</v>
      </c>
      <c r="C35" s="574">
        <f>SUM(C25:C34)</f>
        <v>25899</v>
      </c>
      <c r="D35" s="574">
        <f>SUM(D25:D34)</f>
        <v>29268</v>
      </c>
      <c r="E35" s="693"/>
      <c r="F35" s="1023">
        <f aca="true" t="shared" si="5" ref="F35:O35">SUM(F25:F34)</f>
        <v>4203</v>
      </c>
      <c r="G35" s="1023">
        <f t="shared" si="5"/>
        <v>4509</v>
      </c>
      <c r="H35" s="1024">
        <f t="shared" si="5"/>
        <v>4148</v>
      </c>
      <c r="I35" s="1023">
        <f t="shared" si="5"/>
        <v>4668</v>
      </c>
      <c r="J35" s="1023">
        <f>SUM(J25:J34)</f>
        <v>6750</v>
      </c>
      <c r="K35" s="1107">
        <f t="shared" si="5"/>
        <v>7375</v>
      </c>
      <c r="L35" s="1108">
        <f t="shared" si="5"/>
        <v>7375</v>
      </c>
      <c r="M35" s="1108">
        <f t="shared" si="5"/>
        <v>1662</v>
      </c>
      <c r="N35" s="1026">
        <f t="shared" si="5"/>
        <v>1710</v>
      </c>
      <c r="O35" s="1109">
        <f t="shared" si="5"/>
        <v>2022</v>
      </c>
      <c r="P35" s="1147"/>
      <c r="Q35" s="889">
        <f t="shared" si="3"/>
        <v>5394</v>
      </c>
      <c r="R35" s="891">
        <f t="shared" si="4"/>
        <v>73.13898305084746</v>
      </c>
      <c r="S35" s="1068"/>
      <c r="T35" s="1023">
        <f>SUM(T25:T34)</f>
        <v>3372</v>
      </c>
      <c r="U35" s="889">
        <v>5394</v>
      </c>
      <c r="V35" s="1023">
        <v>0</v>
      </c>
    </row>
    <row r="36" spans="1:22" ht="15">
      <c r="A36" s="939" t="s">
        <v>577</v>
      </c>
      <c r="B36" s="616" t="s">
        <v>693</v>
      </c>
      <c r="C36" s="617">
        <v>0</v>
      </c>
      <c r="D36" s="617">
        <v>0</v>
      </c>
      <c r="E36" s="554">
        <v>601</v>
      </c>
      <c r="F36" s="1031">
        <v>0</v>
      </c>
      <c r="G36" s="1031">
        <v>0</v>
      </c>
      <c r="H36" s="887">
        <v>0</v>
      </c>
      <c r="I36" s="882">
        <v>0</v>
      </c>
      <c r="J36" s="1113">
        <v>0</v>
      </c>
      <c r="K36" s="1100"/>
      <c r="L36" s="1111"/>
      <c r="M36" s="981">
        <v>0</v>
      </c>
      <c r="N36" s="1139">
        <f t="shared" si="1"/>
        <v>0</v>
      </c>
      <c r="O36" s="1010">
        <f t="shared" si="2"/>
        <v>0</v>
      </c>
      <c r="P36" s="984"/>
      <c r="Q36" s="1011">
        <f t="shared" si="3"/>
        <v>0</v>
      </c>
      <c r="R36" s="986" t="e">
        <f t="shared" si="4"/>
        <v>#DIV/0!</v>
      </c>
      <c r="S36" s="1068"/>
      <c r="T36" s="1031">
        <v>0</v>
      </c>
      <c r="U36" s="1102">
        <v>0</v>
      </c>
      <c r="V36" s="1113"/>
    </row>
    <row r="37" spans="1:22" ht="15">
      <c r="A37" s="949" t="s">
        <v>579</v>
      </c>
      <c r="B37" s="629" t="s">
        <v>694</v>
      </c>
      <c r="C37" s="630">
        <v>1190</v>
      </c>
      <c r="D37" s="630">
        <v>1857</v>
      </c>
      <c r="E37" s="556">
        <v>602</v>
      </c>
      <c r="F37" s="1032">
        <v>207</v>
      </c>
      <c r="G37" s="1032">
        <v>233</v>
      </c>
      <c r="H37" s="863">
        <v>317</v>
      </c>
      <c r="I37" s="877">
        <v>377</v>
      </c>
      <c r="J37" s="877">
        <v>551</v>
      </c>
      <c r="K37" s="991"/>
      <c r="L37" s="1092"/>
      <c r="M37" s="991">
        <v>179</v>
      </c>
      <c r="N37" s="1139">
        <f t="shared" si="1"/>
        <v>205</v>
      </c>
      <c r="O37" s="992">
        <f t="shared" si="2"/>
        <v>98</v>
      </c>
      <c r="P37" s="993"/>
      <c r="Q37" s="994">
        <f t="shared" si="3"/>
        <v>482</v>
      </c>
      <c r="R37" s="995" t="e">
        <f t="shared" si="4"/>
        <v>#DIV/0!</v>
      </c>
      <c r="S37" s="1068"/>
      <c r="T37" s="1032">
        <v>384</v>
      </c>
      <c r="U37" s="1094">
        <v>482</v>
      </c>
      <c r="V37" s="877"/>
    </row>
    <row r="38" spans="1:22" ht="15">
      <c r="A38" s="949" t="s">
        <v>581</v>
      </c>
      <c r="B38" s="629" t="s">
        <v>695</v>
      </c>
      <c r="C38" s="630">
        <v>0</v>
      </c>
      <c r="D38" s="630">
        <v>0</v>
      </c>
      <c r="E38" s="556">
        <v>604</v>
      </c>
      <c r="F38" s="1032">
        <v>0</v>
      </c>
      <c r="G38" s="1032">
        <v>0</v>
      </c>
      <c r="H38" s="863">
        <v>0</v>
      </c>
      <c r="I38" s="877">
        <v>0</v>
      </c>
      <c r="J38" s="877">
        <v>0</v>
      </c>
      <c r="K38" s="991"/>
      <c r="L38" s="1092"/>
      <c r="M38" s="991"/>
      <c r="N38" s="1139">
        <f t="shared" si="1"/>
        <v>0</v>
      </c>
      <c r="O38" s="992">
        <f t="shared" si="2"/>
        <v>0</v>
      </c>
      <c r="P38" s="993"/>
      <c r="Q38" s="994">
        <f t="shared" si="3"/>
        <v>0</v>
      </c>
      <c r="R38" s="995" t="e">
        <f t="shared" si="4"/>
        <v>#DIV/0!</v>
      </c>
      <c r="S38" s="1068"/>
      <c r="T38" s="1032">
        <v>0</v>
      </c>
      <c r="U38" s="1094">
        <v>0</v>
      </c>
      <c r="V38" s="877"/>
    </row>
    <row r="39" spans="1:22" ht="15">
      <c r="A39" s="949" t="s">
        <v>583</v>
      </c>
      <c r="B39" s="629" t="s">
        <v>696</v>
      </c>
      <c r="C39" s="630">
        <v>12472</v>
      </c>
      <c r="D39" s="630">
        <v>13728</v>
      </c>
      <c r="E39" s="556" t="s">
        <v>585</v>
      </c>
      <c r="F39" s="1032">
        <v>3926</v>
      </c>
      <c r="G39" s="1032">
        <v>4259</v>
      </c>
      <c r="H39" s="863">
        <v>3835</v>
      </c>
      <c r="I39" s="877">
        <v>4173</v>
      </c>
      <c r="J39" s="877">
        <v>6058</v>
      </c>
      <c r="K39" s="991">
        <f>K35</f>
        <v>7375</v>
      </c>
      <c r="L39" s="1092">
        <v>7375</v>
      </c>
      <c r="M39" s="991">
        <v>1876</v>
      </c>
      <c r="N39" s="1139">
        <f t="shared" si="1"/>
        <v>1916</v>
      </c>
      <c r="O39" s="992">
        <f t="shared" si="2"/>
        <v>1947</v>
      </c>
      <c r="P39" s="993"/>
      <c r="Q39" s="994">
        <f t="shared" si="3"/>
        <v>5739</v>
      </c>
      <c r="R39" s="995">
        <f t="shared" si="4"/>
        <v>77.81694915254236</v>
      </c>
      <c r="S39" s="1068"/>
      <c r="T39" s="1032">
        <v>3792</v>
      </c>
      <c r="U39" s="1094">
        <v>5739</v>
      </c>
      <c r="V39" s="877"/>
    </row>
    <row r="40" spans="1:22" ht="15.75" thickBot="1">
      <c r="A40" s="918" t="s">
        <v>586</v>
      </c>
      <c r="B40" s="634" t="s">
        <v>692</v>
      </c>
      <c r="C40" s="635">
        <v>12330</v>
      </c>
      <c r="D40" s="635">
        <v>13218</v>
      </c>
      <c r="E40" s="561" t="s">
        <v>587</v>
      </c>
      <c r="F40" s="1033">
        <v>146</v>
      </c>
      <c r="G40" s="1033">
        <v>42</v>
      </c>
      <c r="H40" s="869">
        <v>0</v>
      </c>
      <c r="I40" s="885">
        <v>174</v>
      </c>
      <c r="J40" s="885">
        <v>201</v>
      </c>
      <c r="K40" s="1104"/>
      <c r="L40" s="1114"/>
      <c r="M40" s="1034"/>
      <c r="N40" s="1139">
        <f t="shared" si="1"/>
        <v>9</v>
      </c>
      <c r="O40" s="1001">
        <f t="shared" si="2"/>
        <v>34</v>
      </c>
      <c r="P40" s="1002"/>
      <c r="Q40" s="1019">
        <f t="shared" si="3"/>
        <v>43</v>
      </c>
      <c r="R40" s="1004" t="e">
        <f t="shared" si="4"/>
        <v>#DIV/0!</v>
      </c>
      <c r="S40" s="1068"/>
      <c r="T40" s="1073">
        <v>9</v>
      </c>
      <c r="U40" s="1106">
        <v>43</v>
      </c>
      <c r="V40" s="885"/>
    </row>
    <row r="41" spans="1:22" ht="15.75" thickBot="1">
      <c r="A41" s="1022" t="s">
        <v>588</v>
      </c>
      <c r="B41" s="692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1023">
        <f aca="true" t="shared" si="6" ref="F41:O41">SUM(F36:F40)</f>
        <v>4279</v>
      </c>
      <c r="G41" s="1023">
        <f t="shared" si="6"/>
        <v>4534</v>
      </c>
      <c r="H41" s="1024">
        <f t="shared" si="6"/>
        <v>4152</v>
      </c>
      <c r="I41" s="1023">
        <f t="shared" si="6"/>
        <v>4724</v>
      </c>
      <c r="J41" s="1023">
        <f>SUM(J36:J40)</f>
        <v>6810</v>
      </c>
      <c r="K41" s="1107">
        <f t="shared" si="6"/>
        <v>7375</v>
      </c>
      <c r="L41" s="1108">
        <f t="shared" si="6"/>
        <v>7375</v>
      </c>
      <c r="M41" s="1108">
        <f t="shared" si="6"/>
        <v>2055</v>
      </c>
      <c r="N41" s="1108">
        <f t="shared" si="6"/>
        <v>2130</v>
      </c>
      <c r="O41" s="1115">
        <f t="shared" si="6"/>
        <v>2079</v>
      </c>
      <c r="P41" s="890"/>
      <c r="Q41" s="1023">
        <f t="shared" si="3"/>
        <v>6264</v>
      </c>
      <c r="R41" s="891">
        <f t="shared" si="4"/>
        <v>84.93559322033897</v>
      </c>
      <c r="S41" s="1068"/>
      <c r="T41" s="1023">
        <f>SUM(T36:T40)</f>
        <v>4185</v>
      </c>
      <c r="U41" s="1023">
        <f>SUM(U36:U40)</f>
        <v>6264</v>
      </c>
      <c r="V41" s="1023">
        <v>0</v>
      </c>
    </row>
    <row r="42" spans="1:22" ht="6.75" customHeight="1" thickBot="1">
      <c r="A42" s="918"/>
      <c r="B42" s="551"/>
      <c r="C42" s="706"/>
      <c r="D42" s="706"/>
      <c r="E42" s="570"/>
      <c r="F42" s="1033"/>
      <c r="G42" s="1033"/>
      <c r="H42" s="1036"/>
      <c r="I42" s="889"/>
      <c r="J42" s="889"/>
      <c r="K42" s="1117"/>
      <c r="L42" s="1118"/>
      <c r="M42" s="1033"/>
      <c r="N42" s="1139"/>
      <c r="O42" s="924"/>
      <c r="P42" s="1039"/>
      <c r="Q42" s="1113"/>
      <c r="R42" s="1146"/>
      <c r="S42" s="1068"/>
      <c r="T42" s="1033"/>
      <c r="U42" s="889"/>
      <c r="V42" s="889"/>
    </row>
    <row r="43" spans="1:22" ht="15.75" thickBot="1">
      <c r="A43" s="1041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1023">
        <f aca="true" t="shared" si="7" ref="F43:O43">F41-F39</f>
        <v>353</v>
      </c>
      <c r="G43" s="1023">
        <f t="shared" si="7"/>
        <v>275</v>
      </c>
      <c r="H43" s="1023">
        <f t="shared" si="7"/>
        <v>317</v>
      </c>
      <c r="I43" s="1023">
        <f t="shared" si="7"/>
        <v>551</v>
      </c>
      <c r="J43" s="1023">
        <f>J41-J39</f>
        <v>752</v>
      </c>
      <c r="K43" s="1023">
        <f>K41-K39</f>
        <v>0</v>
      </c>
      <c r="L43" s="1030">
        <f t="shared" si="7"/>
        <v>0</v>
      </c>
      <c r="M43" s="1030">
        <f t="shared" si="7"/>
        <v>179</v>
      </c>
      <c r="N43" s="1030">
        <f t="shared" si="7"/>
        <v>214</v>
      </c>
      <c r="O43" s="1030">
        <f t="shared" si="7"/>
        <v>132</v>
      </c>
      <c r="P43" s="1035"/>
      <c r="Q43" s="1043">
        <f t="shared" si="3"/>
        <v>525</v>
      </c>
      <c r="R43" s="986" t="e">
        <f t="shared" si="4"/>
        <v>#DIV/0!</v>
      </c>
      <c r="S43" s="1068"/>
      <c r="T43" s="1023">
        <f>T41-T39</f>
        <v>393</v>
      </c>
      <c r="U43" s="1023">
        <f>U41-U39</f>
        <v>525</v>
      </c>
      <c r="V43" s="1023">
        <f>V41-V39</f>
        <v>0</v>
      </c>
    </row>
    <row r="44" spans="1:22" ht="15.75" thickBot="1">
      <c r="A44" s="1022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1023">
        <f aca="true" t="shared" si="8" ref="F44:O44">F41-F35</f>
        <v>76</v>
      </c>
      <c r="G44" s="1023">
        <f t="shared" si="8"/>
        <v>25</v>
      </c>
      <c r="H44" s="1023">
        <f t="shared" si="8"/>
        <v>4</v>
      </c>
      <c r="I44" s="1023">
        <f t="shared" si="8"/>
        <v>56</v>
      </c>
      <c r="J44" s="1023">
        <f>J41-J35</f>
        <v>60</v>
      </c>
      <c r="K44" s="1023">
        <f>K41-K35</f>
        <v>0</v>
      </c>
      <c r="L44" s="1030">
        <f t="shared" si="8"/>
        <v>0</v>
      </c>
      <c r="M44" s="1030">
        <f t="shared" si="8"/>
        <v>393</v>
      </c>
      <c r="N44" s="1030">
        <f t="shared" si="8"/>
        <v>420</v>
      </c>
      <c r="O44" s="1030">
        <f t="shared" si="8"/>
        <v>57</v>
      </c>
      <c r="P44" s="1035"/>
      <c r="Q44" s="1043">
        <f t="shared" si="3"/>
        <v>870</v>
      </c>
      <c r="R44" s="986" t="e">
        <f t="shared" si="4"/>
        <v>#DIV/0!</v>
      </c>
      <c r="S44" s="1068"/>
      <c r="T44" s="1023">
        <f>T41-T35</f>
        <v>813</v>
      </c>
      <c r="U44" s="1023">
        <f>U41-U35</f>
        <v>870</v>
      </c>
      <c r="V44" s="1023">
        <f>V41-V35</f>
        <v>0</v>
      </c>
    </row>
    <row r="45" spans="1:22" ht="15.75" thickBot="1">
      <c r="A45" s="1045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1023">
        <f aca="true" t="shared" si="9" ref="F45:O45">F44-F39</f>
        <v>-3850</v>
      </c>
      <c r="G45" s="1023">
        <f t="shared" si="9"/>
        <v>-4234</v>
      </c>
      <c r="H45" s="1023">
        <f t="shared" si="9"/>
        <v>-3831</v>
      </c>
      <c r="I45" s="1023">
        <f t="shared" si="9"/>
        <v>-4117</v>
      </c>
      <c r="J45" s="1023">
        <f>J44-J39</f>
        <v>-5998</v>
      </c>
      <c r="K45" s="1023">
        <f t="shared" si="9"/>
        <v>-7375</v>
      </c>
      <c r="L45" s="1030">
        <f t="shared" si="9"/>
        <v>-7375</v>
      </c>
      <c r="M45" s="1030">
        <f t="shared" si="9"/>
        <v>-1483</v>
      </c>
      <c r="N45" s="1030">
        <f t="shared" si="9"/>
        <v>-1496</v>
      </c>
      <c r="O45" s="1030">
        <f t="shared" si="9"/>
        <v>-1890</v>
      </c>
      <c r="P45" s="1035"/>
      <c r="Q45" s="1023">
        <f t="shared" si="3"/>
        <v>-4869</v>
      </c>
      <c r="R45" s="891">
        <f t="shared" si="4"/>
        <v>66.02033898305085</v>
      </c>
      <c r="S45" s="1068"/>
      <c r="T45" s="1023">
        <f>T44-T39</f>
        <v>-2979</v>
      </c>
      <c r="U45" s="1023">
        <f>U44-U39</f>
        <v>-4869</v>
      </c>
      <c r="V45" s="1023">
        <f>V44-V39</f>
        <v>0</v>
      </c>
    </row>
    <row r="46" ht="12.75">
      <c r="A46" s="1053"/>
    </row>
    <row r="47" ht="12.75">
      <c r="A47" s="1053"/>
    </row>
    <row r="48" spans="1:22" ht="14.25">
      <c r="A48" s="893" t="s">
        <v>697</v>
      </c>
      <c r="Q48" s="108"/>
      <c r="R48" s="108"/>
      <c r="S48" s="108"/>
      <c r="T48" s="108"/>
      <c r="U48" s="108"/>
      <c r="V48" s="108"/>
    </row>
    <row r="49" spans="1:22" ht="14.25">
      <c r="A49" s="894" t="s">
        <v>698</v>
      </c>
      <c r="Q49" s="108"/>
      <c r="R49" s="108"/>
      <c r="S49" s="108"/>
      <c r="T49" s="108"/>
      <c r="U49" s="108"/>
      <c r="V49" s="108"/>
    </row>
    <row r="50" spans="1:22" ht="14.25">
      <c r="A50" s="1047" t="s">
        <v>699</v>
      </c>
      <c r="Q50" s="108"/>
      <c r="R50" s="108"/>
      <c r="S50" s="108"/>
      <c r="T50" s="108"/>
      <c r="U50" s="108"/>
      <c r="V50" s="108"/>
    </row>
    <row r="51" spans="1:22" ht="14.25">
      <c r="A51" s="1048"/>
      <c r="Q51" s="108"/>
      <c r="R51" s="108"/>
      <c r="S51" s="108"/>
      <c r="T51" s="108"/>
      <c r="U51" s="108"/>
      <c r="V51" s="108"/>
    </row>
    <row r="52" spans="1:22" ht="12.75">
      <c r="A52" s="1053" t="s">
        <v>707</v>
      </c>
      <c r="Q52" s="108"/>
      <c r="R52" s="108"/>
      <c r="S52" s="108"/>
      <c r="T52" s="108"/>
      <c r="U52" s="108"/>
      <c r="V52" s="108"/>
    </row>
    <row r="53" spans="1:22" ht="12.75">
      <c r="A53" s="1053"/>
      <c r="Q53" s="108"/>
      <c r="R53" s="108"/>
      <c r="S53" s="108"/>
      <c r="T53" s="108"/>
      <c r="U53" s="108"/>
      <c r="V53" s="108"/>
    </row>
    <row r="54" spans="1:22" ht="12.75">
      <c r="A54" s="1053" t="s">
        <v>708</v>
      </c>
      <c r="Q54" s="108"/>
      <c r="R54" s="108"/>
      <c r="S54" s="108"/>
      <c r="T54" s="108"/>
      <c r="U54" s="108"/>
      <c r="V54" s="108"/>
    </row>
    <row r="55" ht="12.75">
      <c r="A55" s="1053" t="s">
        <v>702</v>
      </c>
    </row>
    <row r="56" ht="12.75">
      <c r="A56" s="1053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7">
      <selection activeCell="A1" sqref="A1:V1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9.140625" style="576" customWidth="1"/>
    <col min="6" max="8" width="0" style="108" hidden="1" customWidth="1"/>
    <col min="9" max="10" width="0" style="496" hidden="1" customWidth="1"/>
    <col min="11" max="11" width="11.57421875" style="496" customWidth="1"/>
    <col min="12" max="12" width="11.421875" style="496" customWidth="1"/>
    <col min="13" max="13" width="9.8515625" style="496" customWidth="1"/>
    <col min="14" max="14" width="9.140625" style="496" customWidth="1"/>
    <col min="15" max="15" width="9.28125" style="496" customWidth="1"/>
    <col min="16" max="16" width="9.140625" style="496" customWidth="1"/>
    <col min="17" max="17" width="12.00390625" style="496" customWidth="1"/>
    <col min="18" max="18" width="9.140625" style="478" customWidth="1"/>
    <col min="19" max="19" width="3.421875" style="496" customWidth="1"/>
    <col min="20" max="20" width="12.57421875" style="496" customWidth="1"/>
    <col min="21" max="21" width="11.8515625" style="496" customWidth="1"/>
    <col min="22" max="22" width="12.00390625" style="496" customWidth="1"/>
    <col min="23" max="16384" width="9.140625" style="108" customWidth="1"/>
  </cols>
  <sheetData>
    <row r="1" spans="1:22" ht="18">
      <c r="A1" s="1050" t="s">
        <v>665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902"/>
      <c r="L3" s="897"/>
      <c r="M3" s="897"/>
    </row>
    <row r="4" spans="1:13" ht="13.5" thickBot="1">
      <c r="A4" s="1053"/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898" t="s">
        <v>709</v>
      </c>
      <c r="B5" s="899" t="s">
        <v>710</v>
      </c>
      <c r="C5" s="579"/>
      <c r="D5" s="579"/>
      <c r="E5" s="580"/>
      <c r="F5" s="579"/>
      <c r="G5" s="581"/>
      <c r="H5" s="579"/>
      <c r="I5" s="900"/>
      <c r="J5" s="855"/>
      <c r="K5" s="855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1054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4" t="s">
        <v>667</v>
      </c>
      <c r="I7" s="906" t="s">
        <v>668</v>
      </c>
      <c r="J7" s="906" t="s">
        <v>669</v>
      </c>
      <c r="K7" s="1055" t="s">
        <v>670</v>
      </c>
      <c r="L7" s="1055"/>
      <c r="M7" s="1055" t="s">
        <v>495</v>
      </c>
      <c r="N7" s="1055"/>
      <c r="O7" s="1055"/>
      <c r="P7" s="1055"/>
      <c r="Q7" s="1056" t="s">
        <v>671</v>
      </c>
      <c r="R7" s="1057" t="s">
        <v>497</v>
      </c>
      <c r="S7" s="1149"/>
      <c r="T7" s="907" t="s">
        <v>672</v>
      </c>
      <c r="U7" s="907"/>
      <c r="V7" s="907"/>
    </row>
    <row r="8" spans="1:22" ht="13.5" thickBot="1">
      <c r="A8" s="1054"/>
      <c r="B8" s="904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4"/>
      <c r="I8" s="904"/>
      <c r="J8" s="904"/>
      <c r="K8" s="912" t="s">
        <v>31</v>
      </c>
      <c r="L8" s="912" t="s">
        <v>32</v>
      </c>
      <c r="M8" s="913" t="s">
        <v>508</v>
      </c>
      <c r="N8" s="1058" t="s">
        <v>511</v>
      </c>
      <c r="O8" s="914" t="s">
        <v>514</v>
      </c>
      <c r="P8" s="915" t="s">
        <v>517</v>
      </c>
      <c r="Q8" s="912" t="s">
        <v>518</v>
      </c>
      <c r="R8" s="1059" t="s">
        <v>519</v>
      </c>
      <c r="S8" s="1149"/>
      <c r="T8" s="1060" t="s">
        <v>676</v>
      </c>
      <c r="U8" s="1061" t="s">
        <v>677</v>
      </c>
      <c r="V8" s="1061" t="s">
        <v>678</v>
      </c>
    </row>
    <row r="9" spans="1:22" ht="12.75">
      <c r="A9" s="918" t="s">
        <v>520</v>
      </c>
      <c r="B9" s="599"/>
      <c r="C9" s="600">
        <v>104</v>
      </c>
      <c r="D9" s="600">
        <v>104</v>
      </c>
      <c r="E9" s="546"/>
      <c r="F9" s="1062">
        <v>7</v>
      </c>
      <c r="G9" s="1062">
        <v>6</v>
      </c>
      <c r="H9" s="1062">
        <v>8</v>
      </c>
      <c r="I9" s="928">
        <v>8</v>
      </c>
      <c r="J9" s="928">
        <v>9</v>
      </c>
      <c r="K9" s="946"/>
      <c r="L9" s="946"/>
      <c r="M9" s="1063">
        <v>9</v>
      </c>
      <c r="N9" s="944">
        <f>T9</f>
        <v>9</v>
      </c>
      <c r="O9" s="1129">
        <f>U9</f>
        <v>9</v>
      </c>
      <c r="P9" s="1065"/>
      <c r="Q9" s="1066" t="s">
        <v>521</v>
      </c>
      <c r="R9" s="1067" t="s">
        <v>521</v>
      </c>
      <c r="S9" s="1068"/>
      <c r="T9" s="1069">
        <v>9</v>
      </c>
      <c r="U9" s="928">
        <v>9</v>
      </c>
      <c r="V9" s="929"/>
    </row>
    <row r="10" spans="1:22" ht="13.5" thickBot="1">
      <c r="A10" s="930" t="s">
        <v>522</v>
      </c>
      <c r="B10" s="606"/>
      <c r="C10" s="607">
        <v>101</v>
      </c>
      <c r="D10" s="607">
        <v>104</v>
      </c>
      <c r="E10" s="608"/>
      <c r="F10" s="1070">
        <v>7</v>
      </c>
      <c r="G10" s="1070">
        <v>6</v>
      </c>
      <c r="H10" s="1070">
        <v>8</v>
      </c>
      <c r="I10" s="938">
        <v>8</v>
      </c>
      <c r="J10" s="938">
        <v>7.752</v>
      </c>
      <c r="K10" s="933"/>
      <c r="L10" s="933"/>
      <c r="M10" s="861">
        <v>7.86</v>
      </c>
      <c r="N10" s="935">
        <f aca="true" t="shared" si="0" ref="N10:O21">T10</f>
        <v>7.867</v>
      </c>
      <c r="O10" s="1130">
        <f t="shared" si="0"/>
        <v>7.82</v>
      </c>
      <c r="P10" s="934"/>
      <c r="Q10" s="933" t="s">
        <v>521</v>
      </c>
      <c r="R10" s="1072" t="s">
        <v>521</v>
      </c>
      <c r="S10" s="1068"/>
      <c r="T10" s="1073">
        <v>7.867</v>
      </c>
      <c r="U10" s="938">
        <v>7.82</v>
      </c>
      <c r="V10" s="936"/>
    </row>
    <row r="11" spans="1:22" ht="12.75">
      <c r="A11" s="939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1032">
        <v>1192</v>
      </c>
      <c r="G11" s="1032">
        <v>1351</v>
      </c>
      <c r="H11" s="1032">
        <v>1490</v>
      </c>
      <c r="I11" s="947">
        <v>1548</v>
      </c>
      <c r="J11" s="947">
        <v>1588</v>
      </c>
      <c r="K11" s="945" t="s">
        <v>521</v>
      </c>
      <c r="L11" s="1074" t="s">
        <v>521</v>
      </c>
      <c r="M11" s="865">
        <v>1590</v>
      </c>
      <c r="N11" s="1009">
        <f t="shared" si="0"/>
        <v>1590</v>
      </c>
      <c r="O11" s="944">
        <f t="shared" si="0"/>
        <v>1611</v>
      </c>
      <c r="P11" s="943"/>
      <c r="Q11" s="952" t="s">
        <v>521</v>
      </c>
      <c r="R11" s="1075" t="s">
        <v>521</v>
      </c>
      <c r="S11" s="1068"/>
      <c r="T11" s="1069">
        <v>1590</v>
      </c>
      <c r="U11" s="947">
        <v>1611</v>
      </c>
      <c r="V11" s="948"/>
    </row>
    <row r="12" spans="1:22" ht="12.75">
      <c r="A12" s="949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1032">
        <v>-1192</v>
      </c>
      <c r="G12" s="1032">
        <v>-1256</v>
      </c>
      <c r="H12" s="1032">
        <v>1415</v>
      </c>
      <c r="I12" s="947">
        <v>1483</v>
      </c>
      <c r="J12" s="947">
        <v>1532</v>
      </c>
      <c r="K12" s="952" t="s">
        <v>521</v>
      </c>
      <c r="L12" s="1076" t="s">
        <v>521</v>
      </c>
      <c r="M12" s="867">
        <v>1537</v>
      </c>
      <c r="N12" s="1014">
        <f t="shared" si="0"/>
        <v>1540</v>
      </c>
      <c r="O12" s="951">
        <f t="shared" si="0"/>
        <v>1564</v>
      </c>
      <c r="P12" s="943"/>
      <c r="Q12" s="952" t="s">
        <v>521</v>
      </c>
      <c r="R12" s="1075" t="s">
        <v>521</v>
      </c>
      <c r="S12" s="1068"/>
      <c r="T12" s="1032">
        <v>1540</v>
      </c>
      <c r="U12" s="947">
        <v>1564</v>
      </c>
      <c r="V12" s="948"/>
    </row>
    <row r="13" spans="1:22" ht="12.75">
      <c r="A13" s="949" t="s">
        <v>529</v>
      </c>
      <c r="B13" s="629" t="s">
        <v>679</v>
      </c>
      <c r="C13" s="630">
        <v>604</v>
      </c>
      <c r="D13" s="630">
        <v>619</v>
      </c>
      <c r="E13" s="618" t="s">
        <v>531</v>
      </c>
      <c r="F13" s="1032"/>
      <c r="G13" s="1032"/>
      <c r="H13" s="1032"/>
      <c r="I13" s="947"/>
      <c r="J13" s="947"/>
      <c r="K13" s="952" t="s">
        <v>521</v>
      </c>
      <c r="L13" s="1076" t="s">
        <v>521</v>
      </c>
      <c r="M13" s="867"/>
      <c r="N13" s="1014">
        <f t="shared" si="0"/>
        <v>0</v>
      </c>
      <c r="O13" s="951">
        <f t="shared" si="0"/>
        <v>0</v>
      </c>
      <c r="P13" s="943"/>
      <c r="Q13" s="952" t="s">
        <v>521</v>
      </c>
      <c r="R13" s="1075" t="s">
        <v>521</v>
      </c>
      <c r="S13" s="1068"/>
      <c r="T13" s="1032"/>
      <c r="U13" s="947"/>
      <c r="V13" s="948"/>
    </row>
    <row r="14" spans="1:22" ht="12.75">
      <c r="A14" s="949" t="s">
        <v>532</v>
      </c>
      <c r="B14" s="629" t="s">
        <v>680</v>
      </c>
      <c r="C14" s="630">
        <v>221</v>
      </c>
      <c r="D14" s="630">
        <v>610</v>
      </c>
      <c r="E14" s="618" t="s">
        <v>521</v>
      </c>
      <c r="F14" s="1032">
        <v>62</v>
      </c>
      <c r="G14" s="1032">
        <v>66</v>
      </c>
      <c r="H14" s="1032">
        <v>433</v>
      </c>
      <c r="I14" s="947">
        <v>400</v>
      </c>
      <c r="J14" s="947">
        <v>444</v>
      </c>
      <c r="K14" s="952" t="s">
        <v>521</v>
      </c>
      <c r="L14" s="1076" t="s">
        <v>521</v>
      </c>
      <c r="M14" s="867">
        <v>1159</v>
      </c>
      <c r="N14" s="1014">
        <f t="shared" si="0"/>
        <v>907</v>
      </c>
      <c r="O14" s="951">
        <f t="shared" si="0"/>
        <v>699</v>
      </c>
      <c r="P14" s="943"/>
      <c r="Q14" s="952" t="s">
        <v>521</v>
      </c>
      <c r="R14" s="1075" t="s">
        <v>521</v>
      </c>
      <c r="S14" s="1068"/>
      <c r="T14" s="1032">
        <v>907</v>
      </c>
      <c r="U14" s="947">
        <v>699</v>
      </c>
      <c r="V14" s="948"/>
    </row>
    <row r="15" spans="1:22" ht="13.5" thickBot="1">
      <c r="A15" s="918" t="s">
        <v>534</v>
      </c>
      <c r="B15" s="634" t="s">
        <v>681</v>
      </c>
      <c r="C15" s="635">
        <v>2021</v>
      </c>
      <c r="D15" s="635">
        <v>852</v>
      </c>
      <c r="E15" s="550" t="s">
        <v>536</v>
      </c>
      <c r="F15" s="1033">
        <v>348</v>
      </c>
      <c r="G15" s="1033">
        <v>421</v>
      </c>
      <c r="H15" s="1033">
        <v>468</v>
      </c>
      <c r="I15" s="959">
        <v>551</v>
      </c>
      <c r="J15" s="959">
        <v>500</v>
      </c>
      <c r="K15" s="957" t="s">
        <v>521</v>
      </c>
      <c r="L15" s="1078" t="s">
        <v>521</v>
      </c>
      <c r="M15" s="858">
        <v>805</v>
      </c>
      <c r="N15" s="1018">
        <f t="shared" si="0"/>
        <v>1144</v>
      </c>
      <c r="O15" s="955">
        <f t="shared" si="0"/>
        <v>963</v>
      </c>
      <c r="P15" s="956"/>
      <c r="Q15" s="1066" t="s">
        <v>521</v>
      </c>
      <c r="R15" s="1067" t="s">
        <v>521</v>
      </c>
      <c r="S15" s="1068"/>
      <c r="T15" s="1070">
        <v>1144</v>
      </c>
      <c r="U15" s="959">
        <v>963</v>
      </c>
      <c r="V15" s="960"/>
    </row>
    <row r="16" spans="1:22" ht="15.75" thickBot="1">
      <c r="A16" s="961" t="s">
        <v>537</v>
      </c>
      <c r="B16" s="641"/>
      <c r="C16" s="642">
        <v>24618</v>
      </c>
      <c r="D16" s="642">
        <v>24087</v>
      </c>
      <c r="E16" s="643"/>
      <c r="F16" s="1023">
        <v>423</v>
      </c>
      <c r="G16" s="1023">
        <v>590</v>
      </c>
      <c r="H16" s="1023">
        <v>976</v>
      </c>
      <c r="I16" s="969">
        <v>1016</v>
      </c>
      <c r="J16" s="1084">
        <f>J11-J12+J13+J14+J15</f>
        <v>1000</v>
      </c>
      <c r="K16" s="967" t="s">
        <v>521</v>
      </c>
      <c r="L16" s="1080" t="s">
        <v>521</v>
      </c>
      <c r="M16" s="966">
        <f>M11-M12+M13+M14+M15</f>
        <v>2017</v>
      </c>
      <c r="N16" s="967">
        <f>N11-N12+N13+N14+N15</f>
        <v>2101</v>
      </c>
      <c r="O16" s="967">
        <f>O11-O12+O13+O14+O15</f>
        <v>1709</v>
      </c>
      <c r="P16" s="1082"/>
      <c r="Q16" s="967" t="s">
        <v>521</v>
      </c>
      <c r="R16" s="1083" t="s">
        <v>521</v>
      </c>
      <c r="S16" s="1068"/>
      <c r="T16" s="1084">
        <f>T11-T12+T13+T14+T15</f>
        <v>2101</v>
      </c>
      <c r="U16" s="1084">
        <f>U11-U12+U13+U14+U15</f>
        <v>1709</v>
      </c>
      <c r="V16" s="1084">
        <v>0</v>
      </c>
    </row>
    <row r="17" spans="1:22" ht="12.75">
      <c r="A17" s="91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1033"/>
      <c r="G17" s="1033"/>
      <c r="H17" s="1033">
        <v>75</v>
      </c>
      <c r="I17" s="959">
        <v>65</v>
      </c>
      <c r="J17" s="959">
        <v>55</v>
      </c>
      <c r="K17" s="945" t="s">
        <v>521</v>
      </c>
      <c r="L17" s="1074" t="s">
        <v>521</v>
      </c>
      <c r="M17" s="1063">
        <v>53</v>
      </c>
      <c r="N17" s="944">
        <f t="shared" si="0"/>
        <v>50</v>
      </c>
      <c r="O17" s="993">
        <f>U17</f>
        <v>48</v>
      </c>
      <c r="P17" s="982"/>
      <c r="Q17" s="1066" t="s">
        <v>521</v>
      </c>
      <c r="R17" s="1067" t="s">
        <v>521</v>
      </c>
      <c r="S17" s="1068"/>
      <c r="T17" s="1031">
        <v>50</v>
      </c>
      <c r="U17" s="959">
        <v>48</v>
      </c>
      <c r="V17" s="960"/>
    </row>
    <row r="18" spans="1:22" ht="12.75">
      <c r="A18" s="949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1032">
        <v>179</v>
      </c>
      <c r="G18" s="1032">
        <v>119</v>
      </c>
      <c r="H18" s="1032">
        <v>197</v>
      </c>
      <c r="I18" s="947">
        <v>286</v>
      </c>
      <c r="J18" s="947">
        <v>182</v>
      </c>
      <c r="K18" s="952" t="s">
        <v>521</v>
      </c>
      <c r="L18" s="1076" t="s">
        <v>521</v>
      </c>
      <c r="M18" s="867">
        <v>152</v>
      </c>
      <c r="N18" s="951">
        <f t="shared" si="0"/>
        <v>291</v>
      </c>
      <c r="O18" s="993">
        <f>U18</f>
        <v>275</v>
      </c>
      <c r="P18" s="943"/>
      <c r="Q18" s="952" t="s">
        <v>521</v>
      </c>
      <c r="R18" s="1075" t="s">
        <v>521</v>
      </c>
      <c r="S18" s="1068"/>
      <c r="T18" s="1032">
        <v>291</v>
      </c>
      <c r="U18" s="947">
        <v>275</v>
      </c>
      <c r="V18" s="948"/>
    </row>
    <row r="19" spans="1:22" ht="12.75">
      <c r="A19" s="949" t="s">
        <v>543</v>
      </c>
      <c r="B19" s="629" t="s">
        <v>682</v>
      </c>
      <c r="C19" s="630">
        <v>14718</v>
      </c>
      <c r="D19" s="630">
        <v>14718</v>
      </c>
      <c r="E19" s="618" t="s">
        <v>521</v>
      </c>
      <c r="F19" s="1032"/>
      <c r="G19" s="1032"/>
      <c r="H19" s="1032"/>
      <c r="I19" s="947"/>
      <c r="J19" s="947"/>
      <c r="K19" s="952" t="s">
        <v>521</v>
      </c>
      <c r="L19" s="1076" t="s">
        <v>521</v>
      </c>
      <c r="M19" s="867"/>
      <c r="N19" s="951">
        <f t="shared" si="0"/>
        <v>0</v>
      </c>
      <c r="O19" s="993">
        <f>U19</f>
        <v>0</v>
      </c>
      <c r="P19" s="943"/>
      <c r="Q19" s="952" t="s">
        <v>521</v>
      </c>
      <c r="R19" s="1075" t="s">
        <v>521</v>
      </c>
      <c r="S19" s="1068"/>
      <c r="T19" s="1032"/>
      <c r="U19" s="947"/>
      <c r="V19" s="948"/>
    </row>
    <row r="20" spans="1:22" ht="12.75">
      <c r="A20" s="949" t="s">
        <v>545</v>
      </c>
      <c r="B20" s="629" t="s">
        <v>544</v>
      </c>
      <c r="C20" s="630">
        <v>1758</v>
      </c>
      <c r="D20" s="630">
        <v>1762</v>
      </c>
      <c r="E20" s="618" t="s">
        <v>521</v>
      </c>
      <c r="F20" s="1032">
        <v>175</v>
      </c>
      <c r="G20" s="1032">
        <v>235</v>
      </c>
      <c r="H20" s="1032">
        <v>648</v>
      </c>
      <c r="I20" s="947">
        <v>623</v>
      </c>
      <c r="J20" s="947">
        <v>627</v>
      </c>
      <c r="K20" s="952" t="s">
        <v>521</v>
      </c>
      <c r="L20" s="1076" t="s">
        <v>521</v>
      </c>
      <c r="M20" s="867">
        <v>1605</v>
      </c>
      <c r="N20" s="951">
        <f t="shared" si="0"/>
        <v>1553</v>
      </c>
      <c r="O20" s="993">
        <f>U20</f>
        <v>1101</v>
      </c>
      <c r="P20" s="943"/>
      <c r="Q20" s="952" t="s">
        <v>521</v>
      </c>
      <c r="R20" s="1075" t="s">
        <v>521</v>
      </c>
      <c r="S20" s="1068"/>
      <c r="T20" s="1032">
        <v>1553</v>
      </c>
      <c r="U20" s="947">
        <v>1101</v>
      </c>
      <c r="V20" s="948"/>
    </row>
    <row r="21" spans="1:22" ht="13.5" thickBot="1">
      <c r="A21" s="930" t="s">
        <v>547</v>
      </c>
      <c r="B21" s="1148"/>
      <c r="C21" s="654">
        <v>0</v>
      </c>
      <c r="D21" s="654">
        <v>0</v>
      </c>
      <c r="E21" s="655" t="s">
        <v>521</v>
      </c>
      <c r="F21" s="1032"/>
      <c r="G21" s="1032"/>
      <c r="H21" s="1032"/>
      <c r="I21" s="1052"/>
      <c r="J21" s="1052"/>
      <c r="K21" s="933" t="s">
        <v>521</v>
      </c>
      <c r="L21" s="1086" t="s">
        <v>521</v>
      </c>
      <c r="M21" s="861"/>
      <c r="N21" s="955">
        <f t="shared" si="0"/>
        <v>0</v>
      </c>
      <c r="O21" s="1130">
        <f>U21</f>
        <v>0</v>
      </c>
      <c r="P21" s="956"/>
      <c r="Q21" s="957" t="s">
        <v>521</v>
      </c>
      <c r="R21" s="1087" t="s">
        <v>521</v>
      </c>
      <c r="S21" s="1068"/>
      <c r="T21" s="1073"/>
      <c r="U21" s="1052"/>
      <c r="V21" s="977"/>
    </row>
    <row r="22" spans="1:22" ht="15">
      <c r="A22" s="97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1069">
        <v>2596</v>
      </c>
      <c r="G22" s="1069">
        <v>2870</v>
      </c>
      <c r="H22" s="1069">
        <v>3079</v>
      </c>
      <c r="I22" s="875">
        <v>3210</v>
      </c>
      <c r="J22" s="875">
        <v>3554</v>
      </c>
      <c r="K22" s="1100">
        <f>K35</f>
        <v>3675</v>
      </c>
      <c r="L22" s="1100">
        <f>L35</f>
        <v>3675</v>
      </c>
      <c r="M22" s="981">
        <v>895</v>
      </c>
      <c r="N22" s="1009">
        <f>T22-M22</f>
        <v>922</v>
      </c>
      <c r="O22" s="983">
        <f>U22-T22</f>
        <v>910</v>
      </c>
      <c r="P22" s="1112"/>
      <c r="Q22" s="1150">
        <f>SUM(M22:P22)</f>
        <v>2727</v>
      </c>
      <c r="R22" s="1138">
        <f>(Q22/L22)*100</f>
        <v>74.20408163265306</v>
      </c>
      <c r="S22" s="1068"/>
      <c r="T22" s="1069">
        <v>1817</v>
      </c>
      <c r="U22" s="1090">
        <v>2727</v>
      </c>
      <c r="V22" s="875"/>
    </row>
    <row r="23" spans="1:22" ht="15">
      <c r="A23" s="949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1032"/>
      <c r="G23" s="1032"/>
      <c r="H23" s="1032"/>
      <c r="I23" s="877"/>
      <c r="J23" s="877"/>
      <c r="K23" s="991"/>
      <c r="L23" s="1092"/>
      <c r="M23" s="991"/>
      <c r="N23" s="1151">
        <f aca="true" t="shared" si="1" ref="N23:N40">T23-M23</f>
        <v>0</v>
      </c>
      <c r="O23" s="992">
        <f aca="true" t="shared" si="2" ref="O23:O40">U23-T23</f>
        <v>0</v>
      </c>
      <c r="P23" s="943"/>
      <c r="Q23" s="1152">
        <f aca="true" t="shared" si="3" ref="Q23:Q45">SUM(M23:P23)</f>
        <v>0</v>
      </c>
      <c r="R23" s="1141" t="e">
        <f aca="true" t="shared" si="4" ref="R23:R45">(Q23/L23)*100</f>
        <v>#DIV/0!</v>
      </c>
      <c r="S23" s="1068"/>
      <c r="T23" s="1032"/>
      <c r="U23" s="1094"/>
      <c r="V23" s="1044"/>
    </row>
    <row r="24" spans="1:22" ht="15.75" thickBot="1">
      <c r="A24" s="930" t="s">
        <v>553</v>
      </c>
      <c r="B24" s="1148" t="s">
        <v>552</v>
      </c>
      <c r="C24" s="654">
        <v>0</v>
      </c>
      <c r="D24" s="654">
        <v>1215</v>
      </c>
      <c r="E24" s="558">
        <v>672</v>
      </c>
      <c r="F24" s="1095">
        <v>960</v>
      </c>
      <c r="G24" s="1095">
        <v>1192</v>
      </c>
      <c r="H24" s="1095">
        <v>1150</v>
      </c>
      <c r="I24" s="880">
        <v>1100</v>
      </c>
      <c r="J24" s="880">
        <v>1200</v>
      </c>
      <c r="K24" s="1142">
        <f>K25+K26+K27+K28+K29</f>
        <v>1300</v>
      </c>
      <c r="L24" s="1142">
        <f>L25+L26+L27+L28+L29</f>
        <v>1300</v>
      </c>
      <c r="M24" s="1000">
        <v>324</v>
      </c>
      <c r="N24" s="1153">
        <f t="shared" si="1"/>
        <v>324</v>
      </c>
      <c r="O24" s="1001">
        <f t="shared" si="2"/>
        <v>324</v>
      </c>
      <c r="P24" s="934"/>
      <c r="Q24" s="1154">
        <f t="shared" si="3"/>
        <v>972</v>
      </c>
      <c r="R24" s="1145">
        <f t="shared" si="4"/>
        <v>74.76923076923076</v>
      </c>
      <c r="S24" s="1068"/>
      <c r="T24" s="1070">
        <v>648</v>
      </c>
      <c r="U24" s="1099">
        <v>972</v>
      </c>
      <c r="V24" s="880"/>
    </row>
    <row r="25" spans="1:22" ht="15">
      <c r="A25" s="939" t="s">
        <v>554</v>
      </c>
      <c r="B25" s="616" t="s">
        <v>683</v>
      </c>
      <c r="C25" s="617">
        <v>6341</v>
      </c>
      <c r="D25" s="617">
        <v>6960</v>
      </c>
      <c r="E25" s="554">
        <v>501</v>
      </c>
      <c r="F25" s="1032">
        <v>274</v>
      </c>
      <c r="G25" s="1032">
        <v>450</v>
      </c>
      <c r="H25" s="1032">
        <v>411</v>
      </c>
      <c r="I25" s="882">
        <v>244</v>
      </c>
      <c r="J25" s="882">
        <v>165</v>
      </c>
      <c r="K25" s="1100">
        <v>200</v>
      </c>
      <c r="L25" s="1100">
        <v>200</v>
      </c>
      <c r="M25" s="1100">
        <v>39</v>
      </c>
      <c r="N25" s="982">
        <f t="shared" si="1"/>
        <v>49</v>
      </c>
      <c r="O25" s="983">
        <f t="shared" si="2"/>
        <v>37</v>
      </c>
      <c r="P25" s="1112"/>
      <c r="Q25" s="1150">
        <f t="shared" si="3"/>
        <v>125</v>
      </c>
      <c r="R25" s="1138">
        <f t="shared" si="4"/>
        <v>62.5</v>
      </c>
      <c r="S25" s="1068"/>
      <c r="T25" s="1031">
        <v>88</v>
      </c>
      <c r="U25" s="1102">
        <v>125</v>
      </c>
      <c r="V25" s="882"/>
    </row>
    <row r="26" spans="1:22" ht="15">
      <c r="A26" s="949" t="s">
        <v>556</v>
      </c>
      <c r="B26" s="629" t="s">
        <v>684</v>
      </c>
      <c r="C26" s="630">
        <v>1745</v>
      </c>
      <c r="D26" s="630">
        <v>2223</v>
      </c>
      <c r="E26" s="556">
        <v>502</v>
      </c>
      <c r="F26" s="1032">
        <v>419</v>
      </c>
      <c r="G26" s="1032">
        <v>517</v>
      </c>
      <c r="H26" s="1032">
        <v>452</v>
      </c>
      <c r="I26" s="877">
        <v>460</v>
      </c>
      <c r="J26" s="877">
        <v>423</v>
      </c>
      <c r="K26" s="991">
        <v>465</v>
      </c>
      <c r="L26" s="991">
        <v>465</v>
      </c>
      <c r="M26" s="991">
        <v>158</v>
      </c>
      <c r="N26" s="982">
        <f t="shared" si="1"/>
        <v>80</v>
      </c>
      <c r="O26" s="992">
        <f t="shared" si="2"/>
        <v>90</v>
      </c>
      <c r="P26" s="943"/>
      <c r="Q26" s="1152">
        <f t="shared" si="3"/>
        <v>328</v>
      </c>
      <c r="R26" s="1141">
        <f t="shared" si="4"/>
        <v>70.53763440860214</v>
      </c>
      <c r="S26" s="1068"/>
      <c r="T26" s="1032">
        <v>238</v>
      </c>
      <c r="U26" s="1094">
        <v>328</v>
      </c>
      <c r="V26" s="1155"/>
    </row>
    <row r="27" spans="1:22" ht="15">
      <c r="A27" s="949" t="s">
        <v>558</v>
      </c>
      <c r="B27" s="629" t="s">
        <v>685</v>
      </c>
      <c r="C27" s="630">
        <v>0</v>
      </c>
      <c r="D27" s="630">
        <v>0</v>
      </c>
      <c r="E27" s="556">
        <v>504</v>
      </c>
      <c r="F27" s="1032"/>
      <c r="G27" s="1032"/>
      <c r="H27" s="1032"/>
      <c r="I27" s="877"/>
      <c r="J27" s="877"/>
      <c r="K27" s="991"/>
      <c r="L27" s="991"/>
      <c r="M27" s="991"/>
      <c r="N27" s="982">
        <f t="shared" si="1"/>
        <v>0</v>
      </c>
      <c r="O27" s="992">
        <f t="shared" si="2"/>
        <v>0</v>
      </c>
      <c r="P27" s="943"/>
      <c r="Q27" s="1152">
        <f t="shared" si="3"/>
        <v>0</v>
      </c>
      <c r="R27" s="1141" t="e">
        <f t="shared" si="4"/>
        <v>#DIV/0!</v>
      </c>
      <c r="S27" s="1068"/>
      <c r="T27" s="1032"/>
      <c r="U27" s="1094"/>
      <c r="V27" s="1044"/>
    </row>
    <row r="28" spans="1:22" ht="15">
      <c r="A28" s="949" t="s">
        <v>560</v>
      </c>
      <c r="B28" s="629" t="s">
        <v>686</v>
      </c>
      <c r="C28" s="630">
        <v>428</v>
      </c>
      <c r="D28" s="630">
        <v>253</v>
      </c>
      <c r="E28" s="556">
        <v>511</v>
      </c>
      <c r="F28" s="1032">
        <v>286</v>
      </c>
      <c r="G28" s="1032">
        <v>151</v>
      </c>
      <c r="H28" s="1032">
        <v>41</v>
      </c>
      <c r="I28" s="877">
        <v>148</v>
      </c>
      <c r="J28" s="877">
        <v>101</v>
      </c>
      <c r="K28" s="991">
        <v>140</v>
      </c>
      <c r="L28" s="991">
        <v>140</v>
      </c>
      <c r="M28" s="991">
        <v>14</v>
      </c>
      <c r="N28" s="982">
        <f t="shared" si="1"/>
        <v>7</v>
      </c>
      <c r="O28" s="992">
        <f t="shared" si="2"/>
        <v>22</v>
      </c>
      <c r="P28" s="943"/>
      <c r="Q28" s="1152">
        <f t="shared" si="3"/>
        <v>43</v>
      </c>
      <c r="R28" s="1141">
        <f t="shared" si="4"/>
        <v>30.714285714285715</v>
      </c>
      <c r="S28" s="1068"/>
      <c r="T28" s="1032">
        <v>21</v>
      </c>
      <c r="U28" s="1094">
        <v>43</v>
      </c>
      <c r="V28" s="877"/>
    </row>
    <row r="29" spans="1:22" ht="15">
      <c r="A29" s="949" t="s">
        <v>562</v>
      </c>
      <c r="B29" s="629" t="s">
        <v>687</v>
      </c>
      <c r="C29" s="630">
        <v>1057</v>
      </c>
      <c r="D29" s="630">
        <v>1451</v>
      </c>
      <c r="E29" s="556">
        <v>518</v>
      </c>
      <c r="F29" s="1032">
        <v>187</v>
      </c>
      <c r="G29" s="1032">
        <v>211</v>
      </c>
      <c r="H29" s="1032">
        <v>257</v>
      </c>
      <c r="I29" s="877">
        <v>218</v>
      </c>
      <c r="J29" s="877">
        <v>236</v>
      </c>
      <c r="K29" s="991">
        <v>495</v>
      </c>
      <c r="L29" s="991">
        <v>495</v>
      </c>
      <c r="M29" s="991">
        <v>57</v>
      </c>
      <c r="N29" s="982">
        <f t="shared" si="1"/>
        <v>90</v>
      </c>
      <c r="O29" s="992">
        <f t="shared" si="2"/>
        <v>50</v>
      </c>
      <c r="P29" s="943"/>
      <c r="Q29" s="1152">
        <f t="shared" si="3"/>
        <v>197</v>
      </c>
      <c r="R29" s="1141">
        <f t="shared" si="4"/>
        <v>39.7979797979798</v>
      </c>
      <c r="S29" s="1068"/>
      <c r="T29" s="1032">
        <v>147</v>
      </c>
      <c r="U29" s="1094">
        <v>197</v>
      </c>
      <c r="V29" s="877"/>
    </row>
    <row r="30" spans="1:22" ht="15">
      <c r="A30" s="949" t="s">
        <v>564</v>
      </c>
      <c r="B30" s="684" t="s">
        <v>688</v>
      </c>
      <c r="C30" s="630">
        <v>10408</v>
      </c>
      <c r="D30" s="630">
        <v>11792</v>
      </c>
      <c r="E30" s="556">
        <v>521</v>
      </c>
      <c r="F30" s="1032">
        <v>1185</v>
      </c>
      <c r="G30" s="1032">
        <v>1220</v>
      </c>
      <c r="H30" s="1032">
        <v>1463</v>
      </c>
      <c r="I30" s="877">
        <v>1659</v>
      </c>
      <c r="J30" s="877">
        <v>1900</v>
      </c>
      <c r="K30" s="991">
        <v>1737</v>
      </c>
      <c r="L30" s="991">
        <v>1737</v>
      </c>
      <c r="M30" s="991">
        <v>473</v>
      </c>
      <c r="N30" s="982">
        <f t="shared" si="1"/>
        <v>459</v>
      </c>
      <c r="O30" s="992">
        <f t="shared" si="2"/>
        <v>476</v>
      </c>
      <c r="P30" s="943"/>
      <c r="Q30" s="1152">
        <f t="shared" si="3"/>
        <v>1408</v>
      </c>
      <c r="R30" s="1141">
        <f t="shared" si="4"/>
        <v>81.05929763960852</v>
      </c>
      <c r="S30" s="1068"/>
      <c r="T30" s="1032">
        <v>932</v>
      </c>
      <c r="U30" s="1094">
        <v>1408</v>
      </c>
      <c r="V30" s="877"/>
    </row>
    <row r="31" spans="1:22" ht="15">
      <c r="A31" s="949" t="s">
        <v>566</v>
      </c>
      <c r="B31" s="684" t="s">
        <v>689</v>
      </c>
      <c r="C31" s="630">
        <v>3640</v>
      </c>
      <c r="D31" s="630">
        <v>4174</v>
      </c>
      <c r="E31" s="556" t="s">
        <v>568</v>
      </c>
      <c r="F31" s="1032">
        <v>456</v>
      </c>
      <c r="G31" s="1032">
        <v>472</v>
      </c>
      <c r="H31" s="1032">
        <v>548</v>
      </c>
      <c r="I31" s="877">
        <v>623</v>
      </c>
      <c r="J31" s="877">
        <v>687</v>
      </c>
      <c r="K31" s="991">
        <v>608</v>
      </c>
      <c r="L31" s="991">
        <v>608</v>
      </c>
      <c r="M31" s="991">
        <v>163</v>
      </c>
      <c r="N31" s="982">
        <f t="shared" si="1"/>
        <v>175</v>
      </c>
      <c r="O31" s="992">
        <f t="shared" si="2"/>
        <v>170</v>
      </c>
      <c r="P31" s="943"/>
      <c r="Q31" s="1152">
        <f t="shared" si="3"/>
        <v>508</v>
      </c>
      <c r="R31" s="1141">
        <f t="shared" si="4"/>
        <v>83.55263157894737</v>
      </c>
      <c r="S31" s="1068"/>
      <c r="T31" s="1032">
        <v>338</v>
      </c>
      <c r="U31" s="1094">
        <v>508</v>
      </c>
      <c r="V31" s="1155"/>
    </row>
    <row r="32" spans="1:22" ht="15">
      <c r="A32" s="949" t="s">
        <v>569</v>
      </c>
      <c r="B32" s="629" t="s">
        <v>690</v>
      </c>
      <c r="C32" s="630">
        <v>0</v>
      </c>
      <c r="D32" s="630">
        <v>0</v>
      </c>
      <c r="E32" s="556">
        <v>557</v>
      </c>
      <c r="F32" s="1032"/>
      <c r="G32" s="1032"/>
      <c r="H32" s="1032"/>
      <c r="I32" s="877"/>
      <c r="J32" s="877"/>
      <c r="K32" s="991"/>
      <c r="L32" s="991"/>
      <c r="M32" s="991"/>
      <c r="N32" s="982">
        <f t="shared" si="1"/>
        <v>0</v>
      </c>
      <c r="O32" s="992">
        <f t="shared" si="2"/>
        <v>0</v>
      </c>
      <c r="P32" s="943"/>
      <c r="Q32" s="1152">
        <f t="shared" si="3"/>
        <v>0</v>
      </c>
      <c r="R32" s="1141" t="e">
        <f t="shared" si="4"/>
        <v>#DIV/0!</v>
      </c>
      <c r="S32" s="1068"/>
      <c r="T32" s="1032"/>
      <c r="U32" s="1094"/>
      <c r="V32" s="1044"/>
    </row>
    <row r="33" spans="1:22" ht="15">
      <c r="A33" s="949" t="s">
        <v>571</v>
      </c>
      <c r="B33" s="629" t="s">
        <v>691</v>
      </c>
      <c r="C33" s="630">
        <v>1711</v>
      </c>
      <c r="D33" s="630">
        <v>1801</v>
      </c>
      <c r="E33" s="556">
        <v>551</v>
      </c>
      <c r="F33" s="1032"/>
      <c r="G33" s="1032"/>
      <c r="H33" s="1032">
        <v>10</v>
      </c>
      <c r="I33" s="877">
        <v>10</v>
      </c>
      <c r="J33" s="877">
        <v>10</v>
      </c>
      <c r="K33" s="991"/>
      <c r="L33" s="991"/>
      <c r="M33" s="991">
        <v>3</v>
      </c>
      <c r="N33" s="982">
        <f t="shared" si="1"/>
        <v>2</v>
      </c>
      <c r="O33" s="992">
        <f t="shared" si="2"/>
        <v>3</v>
      </c>
      <c r="P33" s="943"/>
      <c r="Q33" s="1152">
        <f t="shared" si="3"/>
        <v>8</v>
      </c>
      <c r="R33" s="1141" t="e">
        <f t="shared" si="4"/>
        <v>#DIV/0!</v>
      </c>
      <c r="S33" s="1068"/>
      <c r="T33" s="1032">
        <v>5</v>
      </c>
      <c r="U33" s="1094">
        <v>8</v>
      </c>
      <c r="V33" s="877"/>
    </row>
    <row r="34" spans="1:22" ht="15.75" thickBot="1">
      <c r="A34" s="918" t="s">
        <v>573</v>
      </c>
      <c r="B34" s="634" t="s">
        <v>692</v>
      </c>
      <c r="C34" s="635">
        <v>569</v>
      </c>
      <c r="D34" s="635">
        <v>614</v>
      </c>
      <c r="E34" s="561" t="s">
        <v>574</v>
      </c>
      <c r="F34" s="1033">
        <v>14</v>
      </c>
      <c r="G34" s="1033">
        <v>15</v>
      </c>
      <c r="H34" s="1033">
        <v>20</v>
      </c>
      <c r="I34" s="885">
        <v>23</v>
      </c>
      <c r="J34" s="885">
        <v>131</v>
      </c>
      <c r="K34" s="1104">
        <v>30</v>
      </c>
      <c r="L34" s="1104">
        <v>30</v>
      </c>
      <c r="M34" s="1034">
        <v>2</v>
      </c>
      <c r="N34" s="982">
        <f t="shared" si="1"/>
        <v>1</v>
      </c>
      <c r="O34" s="1001">
        <f t="shared" si="2"/>
        <v>37</v>
      </c>
      <c r="P34" s="934"/>
      <c r="Q34" s="1154">
        <f t="shared" si="3"/>
        <v>40</v>
      </c>
      <c r="R34" s="1145">
        <f t="shared" si="4"/>
        <v>133.33333333333331</v>
      </c>
      <c r="S34" s="1068"/>
      <c r="T34" s="1073">
        <v>3</v>
      </c>
      <c r="U34" s="1106">
        <v>40</v>
      </c>
      <c r="V34" s="885"/>
    </row>
    <row r="35" spans="1:22" ht="15.75" thickBot="1">
      <c r="A35" s="1022" t="s">
        <v>575</v>
      </c>
      <c r="B35" s="692" t="s">
        <v>576</v>
      </c>
      <c r="C35" s="574">
        <f>SUM(C25:C34)</f>
        <v>25899</v>
      </c>
      <c r="D35" s="574">
        <f>SUM(D25:D34)</f>
        <v>29268</v>
      </c>
      <c r="E35" s="693"/>
      <c r="F35" s="1023">
        <f aca="true" t="shared" si="5" ref="F35:O35">SUM(F25:F34)</f>
        <v>2821</v>
      </c>
      <c r="G35" s="1023">
        <f t="shared" si="5"/>
        <v>3036</v>
      </c>
      <c r="H35" s="1023">
        <f t="shared" si="5"/>
        <v>3202</v>
      </c>
      <c r="I35" s="1023">
        <f t="shared" si="5"/>
        <v>3385</v>
      </c>
      <c r="J35" s="1023">
        <f>SUM(J25:J34)</f>
        <v>3653</v>
      </c>
      <c r="K35" s="1107">
        <f t="shared" si="5"/>
        <v>3675</v>
      </c>
      <c r="L35" s="1108">
        <f t="shared" si="5"/>
        <v>3675</v>
      </c>
      <c r="M35" s="1108">
        <f t="shared" si="5"/>
        <v>909</v>
      </c>
      <c r="N35" s="1026">
        <f t="shared" si="5"/>
        <v>863</v>
      </c>
      <c r="O35" s="1109">
        <f t="shared" si="5"/>
        <v>885</v>
      </c>
      <c r="P35" s="1156"/>
      <c r="Q35" s="1157">
        <f t="shared" si="3"/>
        <v>2657</v>
      </c>
      <c r="R35" s="1158">
        <f t="shared" si="4"/>
        <v>72.29931972789116</v>
      </c>
      <c r="S35" s="1068"/>
      <c r="T35" s="1023">
        <f>SUM(T25:T34)</f>
        <v>1772</v>
      </c>
      <c r="U35" s="889">
        <v>2657</v>
      </c>
      <c r="V35" s="1023">
        <v>0</v>
      </c>
    </row>
    <row r="36" spans="1:22" ht="15">
      <c r="A36" s="939" t="s">
        <v>577</v>
      </c>
      <c r="B36" s="616" t="s">
        <v>693</v>
      </c>
      <c r="C36" s="617">
        <v>0</v>
      </c>
      <c r="D36" s="617">
        <v>0</v>
      </c>
      <c r="E36" s="554">
        <v>601</v>
      </c>
      <c r="F36" s="1031"/>
      <c r="G36" s="1031"/>
      <c r="H36" s="1031"/>
      <c r="I36" s="882"/>
      <c r="J36" s="1113"/>
      <c r="K36" s="1100"/>
      <c r="L36" s="1111"/>
      <c r="M36" s="981"/>
      <c r="N36" s="982">
        <f t="shared" si="1"/>
        <v>0</v>
      </c>
      <c r="O36" s="983">
        <f t="shared" si="2"/>
        <v>0</v>
      </c>
      <c r="P36" s="982"/>
      <c r="Q36" s="1150">
        <f t="shared" si="3"/>
        <v>0</v>
      </c>
      <c r="R36" s="1138" t="e">
        <f t="shared" si="4"/>
        <v>#DIV/0!</v>
      </c>
      <c r="S36" s="1068"/>
      <c r="T36" s="1031"/>
      <c r="U36" s="985"/>
      <c r="V36" s="1113"/>
    </row>
    <row r="37" spans="1:22" ht="15">
      <c r="A37" s="949" t="s">
        <v>579</v>
      </c>
      <c r="B37" s="629" t="s">
        <v>694</v>
      </c>
      <c r="C37" s="630">
        <v>1190</v>
      </c>
      <c r="D37" s="630">
        <v>1857</v>
      </c>
      <c r="E37" s="556">
        <v>602</v>
      </c>
      <c r="F37" s="1032">
        <v>191</v>
      </c>
      <c r="G37" s="1032">
        <v>221</v>
      </c>
      <c r="H37" s="1032">
        <v>161</v>
      </c>
      <c r="I37" s="877">
        <v>217</v>
      </c>
      <c r="J37" s="877">
        <v>201</v>
      </c>
      <c r="K37" s="991"/>
      <c r="L37" s="1092"/>
      <c r="M37" s="991">
        <v>57</v>
      </c>
      <c r="N37" s="982">
        <f t="shared" si="1"/>
        <v>75</v>
      </c>
      <c r="O37" s="992">
        <f t="shared" si="2"/>
        <v>30</v>
      </c>
      <c r="P37" s="943"/>
      <c r="Q37" s="1152">
        <f t="shared" si="3"/>
        <v>162</v>
      </c>
      <c r="R37" s="1141" t="e">
        <f t="shared" si="4"/>
        <v>#DIV/0!</v>
      </c>
      <c r="S37" s="1068"/>
      <c r="T37" s="1032">
        <v>132</v>
      </c>
      <c r="U37" s="1094">
        <v>162</v>
      </c>
      <c r="V37" s="877"/>
    </row>
    <row r="38" spans="1:22" ht="15">
      <c r="A38" s="949" t="s">
        <v>581</v>
      </c>
      <c r="B38" s="629" t="s">
        <v>695</v>
      </c>
      <c r="C38" s="630">
        <v>0</v>
      </c>
      <c r="D38" s="630">
        <v>0</v>
      </c>
      <c r="E38" s="556">
        <v>604</v>
      </c>
      <c r="F38" s="1032"/>
      <c r="G38" s="1032"/>
      <c r="H38" s="1032"/>
      <c r="I38" s="877"/>
      <c r="J38" s="877"/>
      <c r="K38" s="991"/>
      <c r="L38" s="1092"/>
      <c r="M38" s="991"/>
      <c r="N38" s="982">
        <f t="shared" si="1"/>
        <v>0</v>
      </c>
      <c r="O38" s="992">
        <f t="shared" si="2"/>
        <v>0</v>
      </c>
      <c r="P38" s="943"/>
      <c r="Q38" s="1152">
        <f t="shared" si="3"/>
        <v>0</v>
      </c>
      <c r="R38" s="1141" t="e">
        <f t="shared" si="4"/>
        <v>#DIV/0!</v>
      </c>
      <c r="S38" s="1068"/>
      <c r="T38" s="1032"/>
      <c r="U38" s="1094"/>
      <c r="V38" s="877"/>
    </row>
    <row r="39" spans="1:22" ht="15.75" customHeight="1">
      <c r="A39" s="949" t="s">
        <v>583</v>
      </c>
      <c r="B39" s="629" t="s">
        <v>696</v>
      </c>
      <c r="C39" s="630">
        <v>12472</v>
      </c>
      <c r="D39" s="630">
        <v>13728</v>
      </c>
      <c r="E39" s="556" t="s">
        <v>585</v>
      </c>
      <c r="F39" s="1032">
        <v>2596</v>
      </c>
      <c r="G39" s="1032">
        <v>2870</v>
      </c>
      <c r="H39" s="1032">
        <v>3079</v>
      </c>
      <c r="I39" s="877">
        <v>3210</v>
      </c>
      <c r="J39" s="877">
        <v>3554</v>
      </c>
      <c r="K39" s="991">
        <f>K35</f>
        <v>3675</v>
      </c>
      <c r="L39" s="1092">
        <v>3675</v>
      </c>
      <c r="M39" s="991">
        <v>895</v>
      </c>
      <c r="N39" s="982">
        <f t="shared" si="1"/>
        <v>922</v>
      </c>
      <c r="O39" s="992">
        <f t="shared" si="2"/>
        <v>910</v>
      </c>
      <c r="P39" s="943"/>
      <c r="Q39" s="1152">
        <f t="shared" si="3"/>
        <v>2727</v>
      </c>
      <c r="R39" s="1141">
        <f t="shared" si="4"/>
        <v>74.20408163265306</v>
      </c>
      <c r="S39" s="1068"/>
      <c r="T39" s="1032">
        <v>1817</v>
      </c>
      <c r="U39" s="1094">
        <v>2727</v>
      </c>
      <c r="V39" s="877"/>
    </row>
    <row r="40" spans="1:22" ht="15.75" customHeight="1" thickBot="1">
      <c r="A40" s="918" t="s">
        <v>586</v>
      </c>
      <c r="B40" s="634" t="s">
        <v>692</v>
      </c>
      <c r="C40" s="635">
        <v>12330</v>
      </c>
      <c r="D40" s="635">
        <v>13218</v>
      </c>
      <c r="E40" s="561" t="s">
        <v>587</v>
      </c>
      <c r="F40" s="1033">
        <v>55</v>
      </c>
      <c r="G40" s="1033">
        <v>14</v>
      </c>
      <c r="H40" s="1033">
        <v>18</v>
      </c>
      <c r="I40" s="885"/>
      <c r="J40" s="885">
        <v>33</v>
      </c>
      <c r="K40" s="1104"/>
      <c r="L40" s="1114"/>
      <c r="M40" s="1034">
        <v>29</v>
      </c>
      <c r="N40" s="982">
        <f t="shared" si="1"/>
        <v>0</v>
      </c>
      <c r="O40" s="1001">
        <f t="shared" si="2"/>
        <v>25</v>
      </c>
      <c r="P40" s="943"/>
      <c r="Q40" s="1154">
        <f t="shared" si="3"/>
        <v>54</v>
      </c>
      <c r="R40" s="1145" t="e">
        <f t="shared" si="4"/>
        <v>#DIV/0!</v>
      </c>
      <c r="S40" s="1068"/>
      <c r="T40" s="1073">
        <v>29</v>
      </c>
      <c r="U40" s="1106">
        <v>54</v>
      </c>
      <c r="V40" s="885"/>
    </row>
    <row r="41" spans="1:22" ht="18.75" customHeight="1" thickBot="1">
      <c r="A41" s="1022" t="s">
        <v>588</v>
      </c>
      <c r="B41" s="692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1023">
        <f aca="true" t="shared" si="6" ref="F41:O41">SUM(F36:F40)</f>
        <v>2842</v>
      </c>
      <c r="G41" s="1023">
        <f t="shared" si="6"/>
        <v>3105</v>
      </c>
      <c r="H41" s="1023">
        <f t="shared" si="6"/>
        <v>3258</v>
      </c>
      <c r="I41" s="1023">
        <f t="shared" si="6"/>
        <v>3427</v>
      </c>
      <c r="J41" s="1023">
        <f>SUM(J36:J40)</f>
        <v>3788</v>
      </c>
      <c r="K41" s="1107">
        <f t="shared" si="6"/>
        <v>3675</v>
      </c>
      <c r="L41" s="1108">
        <f t="shared" si="6"/>
        <v>3675</v>
      </c>
      <c r="M41" s="1108">
        <f t="shared" si="6"/>
        <v>981</v>
      </c>
      <c r="N41" s="1108">
        <f t="shared" si="6"/>
        <v>997</v>
      </c>
      <c r="O41" s="1115">
        <f t="shared" si="6"/>
        <v>965</v>
      </c>
      <c r="P41" s="1035"/>
      <c r="Q41" s="1157">
        <f t="shared" si="3"/>
        <v>2943</v>
      </c>
      <c r="R41" s="1158">
        <f t="shared" si="4"/>
        <v>80.08163265306123</v>
      </c>
      <c r="S41" s="1068"/>
      <c r="T41" s="1023">
        <f>SUM(T36:T40)</f>
        <v>1978</v>
      </c>
      <c r="U41" s="889">
        <v>2943</v>
      </c>
      <c r="V41" s="1023">
        <v>0</v>
      </c>
    </row>
    <row r="42" spans="1:22" ht="6.75" customHeight="1" thickBot="1">
      <c r="A42" s="918"/>
      <c r="B42" s="551"/>
      <c r="C42" s="706"/>
      <c r="D42" s="706"/>
      <c r="E42" s="570"/>
      <c r="F42" s="1033"/>
      <c r="G42" s="1033"/>
      <c r="H42" s="1033"/>
      <c r="I42" s="889"/>
      <c r="J42" s="889"/>
      <c r="K42" s="1117"/>
      <c r="L42" s="1118"/>
      <c r="M42" s="1033"/>
      <c r="N42" s="982"/>
      <c r="O42" s="924"/>
      <c r="P42" s="1039"/>
      <c r="Q42" s="1159"/>
      <c r="R42" s="1160"/>
      <c r="S42" s="1068"/>
      <c r="T42" s="1033"/>
      <c r="U42" s="889"/>
      <c r="V42" s="889"/>
    </row>
    <row r="43" spans="1:22" ht="15.75" thickBot="1">
      <c r="A43" s="1041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1023">
        <f aca="true" t="shared" si="7" ref="F43:P43">F41-F39</f>
        <v>246</v>
      </c>
      <c r="G43" s="1023">
        <f t="shared" si="7"/>
        <v>235</v>
      </c>
      <c r="H43" s="1023">
        <f t="shared" si="7"/>
        <v>179</v>
      </c>
      <c r="I43" s="1023">
        <f t="shared" si="7"/>
        <v>217</v>
      </c>
      <c r="J43" s="1023">
        <f>J41-J39</f>
        <v>234</v>
      </c>
      <c r="K43" s="1023">
        <f>K41-K39</f>
        <v>0</v>
      </c>
      <c r="L43" s="1030">
        <f t="shared" si="7"/>
        <v>0</v>
      </c>
      <c r="M43" s="1030">
        <f t="shared" si="7"/>
        <v>86</v>
      </c>
      <c r="N43" s="1030">
        <f t="shared" si="7"/>
        <v>75</v>
      </c>
      <c r="O43" s="1023">
        <f t="shared" si="7"/>
        <v>55</v>
      </c>
      <c r="P43" s="889">
        <f t="shared" si="7"/>
        <v>0</v>
      </c>
      <c r="Q43" s="1161">
        <f t="shared" si="3"/>
        <v>216</v>
      </c>
      <c r="R43" s="1116" t="e">
        <f t="shared" si="4"/>
        <v>#DIV/0!</v>
      </c>
      <c r="S43" s="1068"/>
      <c r="T43" s="1023">
        <f>T41-T39</f>
        <v>161</v>
      </c>
      <c r="U43" s="1023">
        <f>U41-U39</f>
        <v>216</v>
      </c>
      <c r="V43" s="1023">
        <f>V41-V39</f>
        <v>0</v>
      </c>
    </row>
    <row r="44" spans="1:22" ht="15.75" thickBot="1">
      <c r="A44" s="1022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1023">
        <f aca="true" t="shared" si="8" ref="F44:P44">F41-F35</f>
        <v>21</v>
      </c>
      <c r="G44" s="1023">
        <f t="shared" si="8"/>
        <v>69</v>
      </c>
      <c r="H44" s="1023">
        <f t="shared" si="8"/>
        <v>56</v>
      </c>
      <c r="I44" s="1023">
        <f t="shared" si="8"/>
        <v>42</v>
      </c>
      <c r="J44" s="1023">
        <f>J41-J35</f>
        <v>135</v>
      </c>
      <c r="K44" s="1023">
        <f>K41-K35</f>
        <v>0</v>
      </c>
      <c r="L44" s="1030">
        <f t="shared" si="8"/>
        <v>0</v>
      </c>
      <c r="M44" s="1030">
        <f t="shared" si="8"/>
        <v>72</v>
      </c>
      <c r="N44" s="1030">
        <f t="shared" si="8"/>
        <v>134</v>
      </c>
      <c r="O44" s="1023">
        <f t="shared" si="8"/>
        <v>80</v>
      </c>
      <c r="P44" s="889">
        <f t="shared" si="8"/>
        <v>0</v>
      </c>
      <c r="Q44" s="1161">
        <f t="shared" si="3"/>
        <v>286</v>
      </c>
      <c r="R44" s="1116" t="e">
        <f t="shared" si="4"/>
        <v>#DIV/0!</v>
      </c>
      <c r="S44" s="1068"/>
      <c r="T44" s="1023">
        <f>T41-T35</f>
        <v>206</v>
      </c>
      <c r="U44" s="1023">
        <f>U41-U35</f>
        <v>286</v>
      </c>
      <c r="V44" s="1023">
        <f>V41-V35</f>
        <v>0</v>
      </c>
    </row>
    <row r="45" spans="1:22" ht="15.75" thickBot="1">
      <c r="A45" s="1045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1023">
        <f aca="true" t="shared" si="9" ref="F45:P45">F44-F39</f>
        <v>-2575</v>
      </c>
      <c r="G45" s="1023">
        <f t="shared" si="9"/>
        <v>-2801</v>
      </c>
      <c r="H45" s="1023">
        <f t="shared" si="9"/>
        <v>-3023</v>
      </c>
      <c r="I45" s="1023">
        <f t="shared" si="9"/>
        <v>-3168</v>
      </c>
      <c r="J45" s="1023">
        <f>J44-J39</f>
        <v>-3419</v>
      </c>
      <c r="K45" s="1023">
        <f t="shared" si="9"/>
        <v>-3675</v>
      </c>
      <c r="L45" s="1030">
        <f t="shared" si="9"/>
        <v>-3675</v>
      </c>
      <c r="M45" s="1030">
        <f t="shared" si="9"/>
        <v>-823</v>
      </c>
      <c r="N45" s="1030">
        <f t="shared" si="9"/>
        <v>-788</v>
      </c>
      <c r="O45" s="1023">
        <f t="shared" si="9"/>
        <v>-830</v>
      </c>
      <c r="P45" s="889">
        <f t="shared" si="9"/>
        <v>0</v>
      </c>
      <c r="Q45" s="1161">
        <f t="shared" si="3"/>
        <v>-2441</v>
      </c>
      <c r="R45" s="1030">
        <f t="shared" si="4"/>
        <v>66.421768707483</v>
      </c>
      <c r="S45" s="1068"/>
      <c r="T45" s="1023">
        <f>T44-T39</f>
        <v>-1611</v>
      </c>
      <c r="U45" s="1023">
        <f>U44-U39</f>
        <v>-2441</v>
      </c>
      <c r="V45" s="1023">
        <f>V44-V39</f>
        <v>0</v>
      </c>
    </row>
    <row r="46" ht="12.75">
      <c r="A46" s="1053"/>
    </row>
    <row r="47" ht="12.75">
      <c r="A47" s="1053"/>
    </row>
    <row r="48" spans="1:22" ht="14.25">
      <c r="A48" s="893" t="s">
        <v>697</v>
      </c>
      <c r="Q48" s="108"/>
      <c r="R48" s="108"/>
      <c r="S48" s="108"/>
      <c r="T48" s="108"/>
      <c r="U48" s="108"/>
      <c r="V48" s="108"/>
    </row>
    <row r="49" spans="1:22" ht="14.25">
      <c r="A49" s="894" t="s">
        <v>698</v>
      </c>
      <c r="Q49" s="108"/>
      <c r="R49" s="108"/>
      <c r="S49" s="108"/>
      <c r="T49" s="108"/>
      <c r="U49" s="108"/>
      <c r="V49" s="108"/>
    </row>
    <row r="50" spans="1:22" ht="14.25">
      <c r="A50" s="1047" t="s">
        <v>699</v>
      </c>
      <c r="Q50" s="108"/>
      <c r="R50" s="108"/>
      <c r="S50" s="108"/>
      <c r="T50" s="108"/>
      <c r="U50" s="108"/>
      <c r="V50" s="108"/>
    </row>
    <row r="51" spans="1:22" ht="14.25">
      <c r="A51" s="1048"/>
      <c r="Q51" s="108"/>
      <c r="R51" s="108"/>
      <c r="S51" s="108"/>
      <c r="T51" s="108"/>
      <c r="U51" s="108"/>
      <c r="V51" s="108"/>
    </row>
    <row r="52" spans="1:22" ht="12.75">
      <c r="A52" s="1053" t="s">
        <v>707</v>
      </c>
      <c r="Q52" s="108"/>
      <c r="R52" s="108"/>
      <c r="S52" s="108"/>
      <c r="T52" s="108"/>
      <c r="U52" s="108"/>
      <c r="V52" s="108"/>
    </row>
    <row r="53" spans="1:22" ht="12.75">
      <c r="A53" s="1053"/>
      <c r="Q53" s="108"/>
      <c r="R53" s="108"/>
      <c r="S53" s="108"/>
      <c r="T53" s="108"/>
      <c r="U53" s="108"/>
      <c r="V53" s="108"/>
    </row>
    <row r="54" spans="1:22" ht="12.75">
      <c r="A54" s="1053" t="s">
        <v>711</v>
      </c>
      <c r="Q54" s="108"/>
      <c r="R54" s="108"/>
      <c r="S54" s="108"/>
      <c r="T54" s="108"/>
      <c r="U54" s="108"/>
      <c r="V54" s="108"/>
    </row>
    <row r="55" ht="12.75">
      <c r="A55" s="1053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9.140625" style="576" customWidth="1"/>
    <col min="6" max="8" width="0" style="108" hidden="1" customWidth="1"/>
    <col min="9" max="10" width="0" style="496" hidden="1" customWidth="1"/>
    <col min="11" max="11" width="11.57421875" style="496" customWidth="1"/>
    <col min="12" max="12" width="11.421875" style="496" customWidth="1"/>
    <col min="13" max="13" width="9.8515625" style="496" customWidth="1"/>
    <col min="14" max="14" width="9.140625" style="496" customWidth="1"/>
    <col min="15" max="15" width="9.28125" style="496" customWidth="1"/>
    <col min="16" max="16" width="9.140625" style="496" customWidth="1"/>
    <col min="17" max="17" width="12.00390625" style="496" customWidth="1"/>
    <col min="18" max="18" width="9.140625" style="478" customWidth="1"/>
    <col min="19" max="19" width="3.421875" style="496" customWidth="1"/>
    <col min="20" max="20" width="12.57421875" style="496" customWidth="1"/>
    <col min="21" max="21" width="11.8515625" style="496" customWidth="1"/>
    <col min="22" max="22" width="12.00390625" style="496" customWidth="1"/>
    <col min="23" max="16384" width="9.140625" style="108" customWidth="1"/>
  </cols>
  <sheetData>
    <row r="1" spans="1:22" ht="18">
      <c r="A1" s="1050" t="s">
        <v>665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902"/>
      <c r="L3" s="897"/>
      <c r="M3" s="897"/>
    </row>
    <row r="4" spans="1:13" ht="13.5" thickBot="1">
      <c r="A4" s="1053"/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898" t="s">
        <v>709</v>
      </c>
      <c r="B5" s="899" t="s">
        <v>712</v>
      </c>
      <c r="C5" s="579"/>
      <c r="D5" s="579"/>
      <c r="E5" s="580"/>
      <c r="F5" s="579"/>
      <c r="G5" s="581"/>
      <c r="H5" s="581"/>
      <c r="I5" s="855"/>
      <c r="J5" s="855"/>
      <c r="K5" s="855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1054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4" t="s">
        <v>667</v>
      </c>
      <c r="I7" s="906" t="s">
        <v>668</v>
      </c>
      <c r="J7" s="906" t="s">
        <v>669</v>
      </c>
      <c r="K7" s="1055" t="s">
        <v>670</v>
      </c>
      <c r="L7" s="1055"/>
      <c r="M7" s="1055" t="s">
        <v>495</v>
      </c>
      <c r="N7" s="1055"/>
      <c r="O7" s="1055"/>
      <c r="P7" s="1055"/>
      <c r="Q7" s="1056" t="s">
        <v>671</v>
      </c>
      <c r="R7" s="1057" t="s">
        <v>497</v>
      </c>
      <c r="T7" s="907" t="s">
        <v>672</v>
      </c>
      <c r="U7" s="907"/>
      <c r="V7" s="907"/>
    </row>
    <row r="8" spans="1:22" ht="13.5" thickBot="1">
      <c r="A8" s="1054"/>
      <c r="B8" s="904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4"/>
      <c r="I8" s="904"/>
      <c r="J8" s="904"/>
      <c r="K8" s="912" t="s">
        <v>31</v>
      </c>
      <c r="L8" s="912" t="s">
        <v>32</v>
      </c>
      <c r="M8" s="913" t="s">
        <v>508</v>
      </c>
      <c r="N8" s="1058" t="s">
        <v>511</v>
      </c>
      <c r="O8" s="914" t="s">
        <v>514</v>
      </c>
      <c r="P8" s="915" t="s">
        <v>517</v>
      </c>
      <c r="Q8" s="912" t="s">
        <v>518</v>
      </c>
      <c r="R8" s="1059" t="s">
        <v>519</v>
      </c>
      <c r="T8" s="1060" t="s">
        <v>676</v>
      </c>
      <c r="U8" s="1061" t="s">
        <v>677</v>
      </c>
      <c r="V8" s="1061" t="s">
        <v>678</v>
      </c>
    </row>
    <row r="9" spans="1:22" ht="12.75">
      <c r="A9" s="918" t="s">
        <v>520</v>
      </c>
      <c r="B9" s="599"/>
      <c r="C9" s="600">
        <v>104</v>
      </c>
      <c r="D9" s="600">
        <v>104</v>
      </c>
      <c r="E9" s="546"/>
      <c r="F9" s="1062">
        <v>12</v>
      </c>
      <c r="G9" s="1062">
        <v>12</v>
      </c>
      <c r="H9" s="1062">
        <v>12</v>
      </c>
      <c r="I9" s="1162">
        <v>13</v>
      </c>
      <c r="J9" s="1162">
        <v>13</v>
      </c>
      <c r="K9" s="946"/>
      <c r="L9" s="946"/>
      <c r="M9" s="1063">
        <v>13</v>
      </c>
      <c r="N9" s="944">
        <f>T9</f>
        <v>13</v>
      </c>
      <c r="O9" s="1129">
        <f>U9</f>
        <v>13</v>
      </c>
      <c r="P9" s="1065"/>
      <c r="Q9" s="1066" t="s">
        <v>521</v>
      </c>
      <c r="R9" s="1067" t="s">
        <v>521</v>
      </c>
      <c r="S9" s="1068"/>
      <c r="T9" s="1069">
        <v>13</v>
      </c>
      <c r="U9" s="928">
        <v>13</v>
      </c>
      <c r="V9" s="1133"/>
    </row>
    <row r="10" spans="1:22" ht="13.5" thickBot="1">
      <c r="A10" s="930" t="s">
        <v>522</v>
      </c>
      <c r="B10" s="606"/>
      <c r="C10" s="607">
        <v>101</v>
      </c>
      <c r="D10" s="607">
        <v>104</v>
      </c>
      <c r="E10" s="608"/>
      <c r="F10" s="1070">
        <v>12</v>
      </c>
      <c r="G10" s="1070">
        <v>12</v>
      </c>
      <c r="H10" s="1070">
        <v>12</v>
      </c>
      <c r="I10" s="1163">
        <v>12.5</v>
      </c>
      <c r="J10" s="1163">
        <v>13</v>
      </c>
      <c r="K10" s="933"/>
      <c r="L10" s="1086"/>
      <c r="M10" s="861">
        <v>13</v>
      </c>
      <c r="N10" s="955">
        <f aca="true" t="shared" si="0" ref="N10:O21">T10</f>
        <v>13</v>
      </c>
      <c r="O10" s="1130">
        <f t="shared" si="0"/>
        <v>13</v>
      </c>
      <c r="P10" s="956"/>
      <c r="Q10" s="933" t="s">
        <v>521</v>
      </c>
      <c r="R10" s="1072" t="s">
        <v>521</v>
      </c>
      <c r="S10" s="1068"/>
      <c r="T10" s="1073">
        <v>13</v>
      </c>
      <c r="U10" s="938">
        <v>13</v>
      </c>
      <c r="V10" s="1072"/>
    </row>
    <row r="11" spans="1:22" ht="12.75">
      <c r="A11" s="939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1032">
        <v>1937</v>
      </c>
      <c r="G11" s="1032">
        <v>2360</v>
      </c>
      <c r="H11" s="1032">
        <v>2579</v>
      </c>
      <c r="I11" s="947">
        <v>2656</v>
      </c>
      <c r="J11" s="947">
        <v>2748</v>
      </c>
      <c r="K11" s="945" t="s">
        <v>521</v>
      </c>
      <c r="L11" s="1074" t="s">
        <v>521</v>
      </c>
      <c r="M11" s="865">
        <v>2753</v>
      </c>
      <c r="N11" s="1009">
        <f t="shared" si="0"/>
        <v>2765</v>
      </c>
      <c r="O11" s="944">
        <f t="shared" si="0"/>
        <v>2777</v>
      </c>
      <c r="P11" s="984"/>
      <c r="Q11" s="948" t="s">
        <v>521</v>
      </c>
      <c r="R11" s="1075" t="s">
        <v>521</v>
      </c>
      <c r="S11" s="1068"/>
      <c r="T11" s="979">
        <v>2765</v>
      </c>
      <c r="U11" s="947">
        <v>2777</v>
      </c>
      <c r="V11" s="948"/>
    </row>
    <row r="12" spans="1:22" ht="12.75">
      <c r="A12" s="949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1032">
        <v>-1776</v>
      </c>
      <c r="G12" s="1032">
        <v>-2076</v>
      </c>
      <c r="H12" s="1032">
        <v>2352</v>
      </c>
      <c r="I12" s="947">
        <v>2488</v>
      </c>
      <c r="J12" s="947">
        <v>2630</v>
      </c>
      <c r="K12" s="952" t="s">
        <v>521</v>
      </c>
      <c r="L12" s="1076" t="s">
        <v>521</v>
      </c>
      <c r="M12" s="867">
        <v>2645</v>
      </c>
      <c r="N12" s="1014">
        <f t="shared" si="0"/>
        <v>2665</v>
      </c>
      <c r="O12" s="951">
        <f t="shared" si="0"/>
        <v>2684</v>
      </c>
      <c r="P12" s="993"/>
      <c r="Q12" s="948" t="s">
        <v>521</v>
      </c>
      <c r="R12" s="1075" t="s">
        <v>521</v>
      </c>
      <c r="S12" s="1068"/>
      <c r="T12" s="940">
        <v>2665</v>
      </c>
      <c r="U12" s="947">
        <v>2684</v>
      </c>
      <c r="V12" s="948"/>
    </row>
    <row r="13" spans="1:22" ht="12.75">
      <c r="A13" s="949" t="s">
        <v>529</v>
      </c>
      <c r="B13" s="629" t="s">
        <v>679</v>
      </c>
      <c r="C13" s="630">
        <v>604</v>
      </c>
      <c r="D13" s="630">
        <v>619</v>
      </c>
      <c r="E13" s="618" t="s">
        <v>531</v>
      </c>
      <c r="F13" s="1032"/>
      <c r="G13" s="1032"/>
      <c r="H13" s="1032"/>
      <c r="I13" s="947"/>
      <c r="J13" s="947"/>
      <c r="K13" s="952" t="s">
        <v>521</v>
      </c>
      <c r="L13" s="1076" t="s">
        <v>521</v>
      </c>
      <c r="M13" s="867"/>
      <c r="N13" s="1014">
        <f t="shared" si="0"/>
        <v>0</v>
      </c>
      <c r="O13" s="951">
        <f t="shared" si="0"/>
        <v>0</v>
      </c>
      <c r="P13" s="993"/>
      <c r="Q13" s="948" t="s">
        <v>521</v>
      </c>
      <c r="R13" s="1075" t="s">
        <v>521</v>
      </c>
      <c r="S13" s="1068"/>
      <c r="T13" s="940"/>
      <c r="U13" s="947"/>
      <c r="V13" s="948"/>
    </row>
    <row r="14" spans="1:22" ht="12.75">
      <c r="A14" s="949" t="s">
        <v>532</v>
      </c>
      <c r="B14" s="629" t="s">
        <v>680</v>
      </c>
      <c r="C14" s="630">
        <v>221</v>
      </c>
      <c r="D14" s="630">
        <v>610</v>
      </c>
      <c r="E14" s="618" t="s">
        <v>521</v>
      </c>
      <c r="F14" s="1032">
        <v>340</v>
      </c>
      <c r="G14" s="1032">
        <v>371</v>
      </c>
      <c r="H14" s="1032">
        <v>345</v>
      </c>
      <c r="I14" s="947">
        <v>324</v>
      </c>
      <c r="J14" s="947">
        <v>322</v>
      </c>
      <c r="K14" s="952" t="s">
        <v>521</v>
      </c>
      <c r="L14" s="1076" t="s">
        <v>521</v>
      </c>
      <c r="M14" s="867">
        <v>1003</v>
      </c>
      <c r="N14" s="1014">
        <f t="shared" si="0"/>
        <v>760</v>
      </c>
      <c r="O14" s="951">
        <f t="shared" si="0"/>
        <v>550</v>
      </c>
      <c r="P14" s="993"/>
      <c r="Q14" s="948" t="s">
        <v>521</v>
      </c>
      <c r="R14" s="1075" t="s">
        <v>521</v>
      </c>
      <c r="S14" s="1068"/>
      <c r="T14" s="940">
        <v>760</v>
      </c>
      <c r="U14" s="947">
        <v>550</v>
      </c>
      <c r="V14" s="948"/>
    </row>
    <row r="15" spans="1:22" ht="13.5" thickBot="1">
      <c r="A15" s="918" t="s">
        <v>534</v>
      </c>
      <c r="B15" s="634" t="s">
        <v>681</v>
      </c>
      <c r="C15" s="635">
        <v>2021</v>
      </c>
      <c r="D15" s="635">
        <v>852</v>
      </c>
      <c r="E15" s="550" t="s">
        <v>536</v>
      </c>
      <c r="F15" s="1033">
        <v>625</v>
      </c>
      <c r="G15" s="1033">
        <v>697</v>
      </c>
      <c r="H15" s="1033">
        <v>933</v>
      </c>
      <c r="I15" s="959">
        <v>473</v>
      </c>
      <c r="J15" s="959">
        <v>545</v>
      </c>
      <c r="K15" s="957" t="s">
        <v>521</v>
      </c>
      <c r="L15" s="1078" t="s">
        <v>521</v>
      </c>
      <c r="M15" s="858">
        <v>901</v>
      </c>
      <c r="N15" s="1018">
        <f t="shared" si="0"/>
        <v>1285</v>
      </c>
      <c r="O15" s="955">
        <f t="shared" si="0"/>
        <v>957</v>
      </c>
      <c r="P15" s="1002"/>
      <c r="Q15" s="960" t="s">
        <v>521</v>
      </c>
      <c r="R15" s="1067" t="s">
        <v>521</v>
      </c>
      <c r="S15" s="1068"/>
      <c r="T15" s="931">
        <v>1285</v>
      </c>
      <c r="U15" s="959">
        <v>957</v>
      </c>
      <c r="V15" s="960"/>
    </row>
    <row r="16" spans="1:22" ht="15.75" thickBot="1">
      <c r="A16" s="961" t="s">
        <v>537</v>
      </c>
      <c r="B16" s="641"/>
      <c r="C16" s="642">
        <v>24618</v>
      </c>
      <c r="D16" s="642">
        <v>24087</v>
      </c>
      <c r="E16" s="643"/>
      <c r="F16" s="1023">
        <v>1130</v>
      </c>
      <c r="G16" s="1023">
        <v>1361</v>
      </c>
      <c r="H16" s="962">
        <f>H11-H12+H14+H15</f>
        <v>1505</v>
      </c>
      <c r="I16" s="969">
        <f>I11-I12+I14+I15</f>
        <v>965</v>
      </c>
      <c r="J16" s="1084">
        <f>J11-J12+J13+J14+J15</f>
        <v>985</v>
      </c>
      <c r="K16" s="967" t="s">
        <v>521</v>
      </c>
      <c r="L16" s="1080" t="s">
        <v>521</v>
      </c>
      <c r="M16" s="966">
        <f>M11-M12+M13+M14+M15</f>
        <v>2012</v>
      </c>
      <c r="N16" s="967">
        <f>N11-N12+N13+N14+N15</f>
        <v>2145</v>
      </c>
      <c r="O16" s="967">
        <f>O11-O12+O13+O14+O15</f>
        <v>1600</v>
      </c>
      <c r="P16" s="1082"/>
      <c r="Q16" s="969" t="s">
        <v>521</v>
      </c>
      <c r="R16" s="1083" t="s">
        <v>521</v>
      </c>
      <c r="S16" s="1068"/>
      <c r="T16" s="1084">
        <f>T11-T12+T13+T14+T15</f>
        <v>2145</v>
      </c>
      <c r="U16" s="1084">
        <f>U11-U12+U13+U14+U15</f>
        <v>1600</v>
      </c>
      <c r="V16" s="1084">
        <v>0</v>
      </c>
    </row>
    <row r="17" spans="1:22" ht="12.75">
      <c r="A17" s="91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1033">
        <v>161</v>
      </c>
      <c r="G17" s="1033">
        <v>284</v>
      </c>
      <c r="H17" s="1033">
        <v>227</v>
      </c>
      <c r="I17" s="959">
        <v>168</v>
      </c>
      <c r="J17" s="959">
        <v>118</v>
      </c>
      <c r="K17" s="945" t="s">
        <v>521</v>
      </c>
      <c r="L17" s="1074" t="s">
        <v>521</v>
      </c>
      <c r="M17" s="858">
        <v>108</v>
      </c>
      <c r="N17" s="944">
        <f t="shared" si="0"/>
        <v>101</v>
      </c>
      <c r="O17" s="943">
        <f>U17</f>
        <v>94</v>
      </c>
      <c r="P17" s="944"/>
      <c r="Q17" s="960" t="s">
        <v>521</v>
      </c>
      <c r="R17" s="1067" t="s">
        <v>521</v>
      </c>
      <c r="S17" s="1068"/>
      <c r="T17" s="941">
        <v>101</v>
      </c>
      <c r="U17" s="959">
        <v>94</v>
      </c>
      <c r="V17" s="959"/>
    </row>
    <row r="18" spans="1:22" ht="12.75">
      <c r="A18" s="949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1032">
        <v>106</v>
      </c>
      <c r="G18" s="1032">
        <v>200</v>
      </c>
      <c r="H18" s="1032">
        <v>556</v>
      </c>
      <c r="I18" s="947">
        <v>84</v>
      </c>
      <c r="J18" s="947">
        <v>146</v>
      </c>
      <c r="K18" s="952" t="s">
        <v>521</v>
      </c>
      <c r="L18" s="1076" t="s">
        <v>521</v>
      </c>
      <c r="M18" s="867">
        <v>159</v>
      </c>
      <c r="N18" s="951">
        <f t="shared" si="0"/>
        <v>165</v>
      </c>
      <c r="O18" s="943">
        <f>U18</f>
        <v>171</v>
      </c>
      <c r="P18" s="951"/>
      <c r="Q18" s="948" t="s">
        <v>521</v>
      </c>
      <c r="R18" s="1075" t="s">
        <v>521</v>
      </c>
      <c r="S18" s="1068"/>
      <c r="T18" s="940">
        <v>165</v>
      </c>
      <c r="U18" s="947">
        <v>171</v>
      </c>
      <c r="V18" s="947"/>
    </row>
    <row r="19" spans="1:22" ht="12.75">
      <c r="A19" s="949" t="s">
        <v>543</v>
      </c>
      <c r="B19" s="629" t="s">
        <v>682</v>
      </c>
      <c r="C19" s="630">
        <v>14718</v>
      </c>
      <c r="D19" s="630">
        <v>14718</v>
      </c>
      <c r="E19" s="618" t="s">
        <v>521</v>
      </c>
      <c r="F19" s="1032"/>
      <c r="G19" s="1032"/>
      <c r="H19" s="1032"/>
      <c r="I19" s="947"/>
      <c r="J19" s="947"/>
      <c r="K19" s="952" t="s">
        <v>521</v>
      </c>
      <c r="L19" s="1076" t="s">
        <v>521</v>
      </c>
      <c r="M19" s="867"/>
      <c r="N19" s="951">
        <f t="shared" si="0"/>
        <v>0</v>
      </c>
      <c r="O19" s="943">
        <f>U19</f>
        <v>0</v>
      </c>
      <c r="P19" s="951"/>
      <c r="Q19" s="948" t="s">
        <v>521</v>
      </c>
      <c r="R19" s="1075" t="s">
        <v>521</v>
      </c>
      <c r="S19" s="1068"/>
      <c r="T19" s="940"/>
      <c r="U19" s="947"/>
      <c r="V19" s="947"/>
    </row>
    <row r="20" spans="1:22" ht="12.75">
      <c r="A20" s="949" t="s">
        <v>545</v>
      </c>
      <c r="B20" s="629" t="s">
        <v>544</v>
      </c>
      <c r="C20" s="630">
        <v>1758</v>
      </c>
      <c r="D20" s="630">
        <v>1762</v>
      </c>
      <c r="E20" s="618" t="s">
        <v>521</v>
      </c>
      <c r="F20" s="1032">
        <v>269</v>
      </c>
      <c r="G20" s="1032">
        <v>272</v>
      </c>
      <c r="H20" s="1032">
        <v>722</v>
      </c>
      <c r="I20" s="947">
        <v>696</v>
      </c>
      <c r="J20" s="947">
        <v>719</v>
      </c>
      <c r="K20" s="952" t="s">
        <v>521</v>
      </c>
      <c r="L20" s="1076" t="s">
        <v>521</v>
      </c>
      <c r="M20" s="867">
        <v>1679</v>
      </c>
      <c r="N20" s="951">
        <f t="shared" si="0"/>
        <v>1765</v>
      </c>
      <c r="O20" s="943">
        <f>U20</f>
        <v>1257</v>
      </c>
      <c r="P20" s="951"/>
      <c r="Q20" s="948" t="s">
        <v>521</v>
      </c>
      <c r="R20" s="1075" t="s">
        <v>521</v>
      </c>
      <c r="S20" s="1068"/>
      <c r="T20" s="940">
        <v>1765</v>
      </c>
      <c r="U20" s="947">
        <v>1257</v>
      </c>
      <c r="V20" s="947"/>
    </row>
    <row r="21" spans="1:22" ht="13.5" thickBot="1">
      <c r="A21" s="930" t="s">
        <v>547</v>
      </c>
      <c r="B21" s="1148"/>
      <c r="C21" s="654">
        <v>0</v>
      </c>
      <c r="D21" s="654">
        <v>0</v>
      </c>
      <c r="E21" s="655" t="s">
        <v>521</v>
      </c>
      <c r="F21" s="1032"/>
      <c r="G21" s="1032"/>
      <c r="H21" s="1032"/>
      <c r="I21" s="1052"/>
      <c r="J21" s="1052"/>
      <c r="K21" s="933" t="s">
        <v>521</v>
      </c>
      <c r="L21" s="1086" t="s">
        <v>521</v>
      </c>
      <c r="M21" s="954"/>
      <c r="N21" s="955">
        <f t="shared" si="0"/>
        <v>0</v>
      </c>
      <c r="O21" s="956">
        <f>U21</f>
        <v>0</v>
      </c>
      <c r="P21" s="955"/>
      <c r="Q21" s="977" t="s">
        <v>521</v>
      </c>
      <c r="R21" s="1087" t="s">
        <v>521</v>
      </c>
      <c r="S21" s="1068"/>
      <c r="T21" s="1164"/>
      <c r="U21" s="1052"/>
      <c r="V21" s="1052"/>
    </row>
    <row r="22" spans="1:22" ht="15">
      <c r="A22" s="97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1069">
        <v>4589</v>
      </c>
      <c r="G22" s="1069">
        <v>4639</v>
      </c>
      <c r="H22" s="1069">
        <v>4404</v>
      </c>
      <c r="I22" s="875">
        <v>4342</v>
      </c>
      <c r="J22" s="875">
        <v>4912</v>
      </c>
      <c r="K22" s="1100">
        <f>K35</f>
        <v>4979</v>
      </c>
      <c r="L22" s="1100">
        <f>SUM(L25:L34)</f>
        <v>4979</v>
      </c>
      <c r="M22" s="981">
        <v>1252</v>
      </c>
      <c r="N22" s="1009">
        <f>T22-M22</f>
        <v>1239</v>
      </c>
      <c r="O22" s="983">
        <f>U22-T22</f>
        <v>1245</v>
      </c>
      <c r="P22" s="1112"/>
      <c r="Q22" s="1150">
        <f>SUM(M22:P22)</f>
        <v>3736</v>
      </c>
      <c r="R22" s="1138">
        <f>(Q22/L22)*100</f>
        <v>75.03514762000401</v>
      </c>
      <c r="S22" s="1068"/>
      <c r="T22" s="979">
        <v>2491</v>
      </c>
      <c r="U22" s="1090">
        <v>3736</v>
      </c>
      <c r="V22" s="875"/>
    </row>
    <row r="23" spans="1:22" ht="15">
      <c r="A23" s="949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1032">
        <v>115</v>
      </c>
      <c r="G23" s="1032"/>
      <c r="H23" s="1032"/>
      <c r="I23" s="877"/>
      <c r="J23" s="877"/>
      <c r="K23" s="991"/>
      <c r="L23" s="1092"/>
      <c r="M23" s="991"/>
      <c r="N23" s="1151">
        <f aca="true" t="shared" si="1" ref="N23:N40">T23-M23</f>
        <v>0</v>
      </c>
      <c r="O23" s="992">
        <f aca="true" t="shared" si="2" ref="O23:O34">U23-T23</f>
        <v>0</v>
      </c>
      <c r="P23" s="943"/>
      <c r="Q23" s="1152">
        <f aca="true" t="shared" si="3" ref="Q23:Q45">SUM(M23:P23)</f>
        <v>0</v>
      </c>
      <c r="R23" s="1141" t="e">
        <f aca="true" t="shared" si="4" ref="R23:R45">(Q23/L23)*100</f>
        <v>#DIV/0!</v>
      </c>
      <c r="S23" s="1068"/>
      <c r="T23" s="940"/>
      <c r="U23" s="1094"/>
      <c r="V23" s="877"/>
    </row>
    <row r="24" spans="1:22" ht="15.75" thickBot="1">
      <c r="A24" s="930" t="s">
        <v>553</v>
      </c>
      <c r="B24" s="1148" t="s">
        <v>552</v>
      </c>
      <c r="C24" s="654">
        <v>0</v>
      </c>
      <c r="D24" s="654">
        <v>1215</v>
      </c>
      <c r="E24" s="558">
        <v>672</v>
      </c>
      <c r="F24" s="1095">
        <v>1331</v>
      </c>
      <c r="G24" s="1095">
        <v>1422</v>
      </c>
      <c r="H24" s="1095">
        <v>1150</v>
      </c>
      <c r="I24" s="880">
        <v>1100</v>
      </c>
      <c r="J24" s="880">
        <v>1250</v>
      </c>
      <c r="K24" s="1142">
        <f>K25+K26+K27+K28+K29</f>
        <v>1200</v>
      </c>
      <c r="L24" s="1142">
        <f>L25+L26+L27+L28+L29</f>
        <v>1200</v>
      </c>
      <c r="M24" s="1000">
        <v>300</v>
      </c>
      <c r="N24" s="1153">
        <f t="shared" si="1"/>
        <v>300</v>
      </c>
      <c r="O24" s="1001">
        <f t="shared" si="2"/>
        <v>300</v>
      </c>
      <c r="P24" s="934"/>
      <c r="Q24" s="1154">
        <f t="shared" si="3"/>
        <v>900</v>
      </c>
      <c r="R24" s="1145">
        <f t="shared" si="4"/>
        <v>75</v>
      </c>
      <c r="S24" s="1068"/>
      <c r="T24" s="931">
        <v>600</v>
      </c>
      <c r="U24" s="1099">
        <v>900</v>
      </c>
      <c r="V24" s="880"/>
    </row>
    <row r="25" spans="1:22" ht="15">
      <c r="A25" s="939" t="s">
        <v>554</v>
      </c>
      <c r="B25" s="616" t="s">
        <v>683</v>
      </c>
      <c r="C25" s="617">
        <v>6341</v>
      </c>
      <c r="D25" s="617">
        <v>6960</v>
      </c>
      <c r="E25" s="554">
        <v>501</v>
      </c>
      <c r="F25" s="1032">
        <v>634</v>
      </c>
      <c r="G25" s="1032">
        <v>683</v>
      </c>
      <c r="H25" s="1032">
        <v>650</v>
      </c>
      <c r="I25" s="882">
        <v>453</v>
      </c>
      <c r="J25" s="882">
        <v>397</v>
      </c>
      <c r="K25" s="1100">
        <v>460</v>
      </c>
      <c r="L25" s="1100">
        <v>460</v>
      </c>
      <c r="M25" s="1100">
        <v>79</v>
      </c>
      <c r="N25" s="982">
        <f t="shared" si="1"/>
        <v>91</v>
      </c>
      <c r="O25" s="1010">
        <f t="shared" si="2"/>
        <v>48</v>
      </c>
      <c r="P25" s="1112"/>
      <c r="Q25" s="1150">
        <f t="shared" si="3"/>
        <v>218</v>
      </c>
      <c r="R25" s="1165">
        <f t="shared" si="4"/>
        <v>47.391304347826086</v>
      </c>
      <c r="S25" s="1068"/>
      <c r="T25" s="941">
        <v>170</v>
      </c>
      <c r="U25" s="1102">
        <v>218</v>
      </c>
      <c r="V25" s="882"/>
    </row>
    <row r="26" spans="1:22" ht="15">
      <c r="A26" s="949" t="s">
        <v>556</v>
      </c>
      <c r="B26" s="629" t="s">
        <v>684</v>
      </c>
      <c r="C26" s="630">
        <v>1745</v>
      </c>
      <c r="D26" s="630">
        <v>2223</v>
      </c>
      <c r="E26" s="556">
        <v>502</v>
      </c>
      <c r="F26" s="1032">
        <v>365</v>
      </c>
      <c r="G26" s="1032">
        <v>421</v>
      </c>
      <c r="H26" s="1032">
        <v>485</v>
      </c>
      <c r="I26" s="877">
        <v>408</v>
      </c>
      <c r="J26" s="877">
        <v>391</v>
      </c>
      <c r="K26" s="991">
        <v>370</v>
      </c>
      <c r="L26" s="991">
        <v>370</v>
      </c>
      <c r="M26" s="991">
        <v>132</v>
      </c>
      <c r="N26" s="982">
        <f t="shared" si="1"/>
        <v>97</v>
      </c>
      <c r="O26" s="992">
        <f t="shared" si="2"/>
        <v>116</v>
      </c>
      <c r="P26" s="943"/>
      <c r="Q26" s="1152">
        <f t="shared" si="3"/>
        <v>345</v>
      </c>
      <c r="R26" s="1166">
        <f t="shared" si="4"/>
        <v>93.24324324324324</v>
      </c>
      <c r="S26" s="1068"/>
      <c r="T26" s="940">
        <v>229</v>
      </c>
      <c r="U26" s="1094">
        <v>345</v>
      </c>
      <c r="V26" s="877"/>
    </row>
    <row r="27" spans="1:22" ht="15">
      <c r="A27" s="949" t="s">
        <v>558</v>
      </c>
      <c r="B27" s="629" t="s">
        <v>685</v>
      </c>
      <c r="C27" s="630">
        <v>0</v>
      </c>
      <c r="D27" s="630">
        <v>0</v>
      </c>
      <c r="E27" s="556">
        <v>504</v>
      </c>
      <c r="F27" s="1032"/>
      <c r="G27" s="1032"/>
      <c r="H27" s="1032"/>
      <c r="I27" s="877"/>
      <c r="J27" s="877"/>
      <c r="K27" s="991"/>
      <c r="L27" s="991"/>
      <c r="M27" s="991"/>
      <c r="N27" s="982">
        <f t="shared" si="1"/>
        <v>0</v>
      </c>
      <c r="O27" s="992">
        <f t="shared" si="2"/>
        <v>0</v>
      </c>
      <c r="P27" s="943"/>
      <c r="Q27" s="1152">
        <f t="shared" si="3"/>
        <v>0</v>
      </c>
      <c r="R27" s="1166" t="e">
        <f t="shared" si="4"/>
        <v>#DIV/0!</v>
      </c>
      <c r="S27" s="1068"/>
      <c r="T27" s="940"/>
      <c r="U27" s="1094"/>
      <c r="V27" s="877"/>
    </row>
    <row r="28" spans="1:22" ht="15">
      <c r="A28" s="949" t="s">
        <v>560</v>
      </c>
      <c r="B28" s="629" t="s">
        <v>686</v>
      </c>
      <c r="C28" s="630">
        <v>428</v>
      </c>
      <c r="D28" s="630">
        <v>253</v>
      </c>
      <c r="E28" s="556">
        <v>511</v>
      </c>
      <c r="F28" s="1032">
        <v>70</v>
      </c>
      <c r="G28" s="1032">
        <v>121</v>
      </c>
      <c r="H28" s="1032">
        <v>73</v>
      </c>
      <c r="I28" s="877">
        <v>449</v>
      </c>
      <c r="J28" s="877">
        <v>60</v>
      </c>
      <c r="K28" s="991">
        <v>100</v>
      </c>
      <c r="L28" s="991">
        <v>100</v>
      </c>
      <c r="M28" s="991">
        <v>5</v>
      </c>
      <c r="N28" s="982">
        <f t="shared" si="1"/>
        <v>22</v>
      </c>
      <c r="O28" s="992">
        <f t="shared" si="2"/>
        <v>60</v>
      </c>
      <c r="P28" s="943"/>
      <c r="Q28" s="1152">
        <f t="shared" si="3"/>
        <v>87</v>
      </c>
      <c r="R28" s="1166">
        <f t="shared" si="4"/>
        <v>87</v>
      </c>
      <c r="S28" s="1068"/>
      <c r="T28" s="940">
        <v>27</v>
      </c>
      <c r="U28" s="1094">
        <v>87</v>
      </c>
      <c r="V28" s="877"/>
    </row>
    <row r="29" spans="1:22" ht="15">
      <c r="A29" s="949" t="s">
        <v>562</v>
      </c>
      <c r="B29" s="629" t="s">
        <v>687</v>
      </c>
      <c r="C29" s="630">
        <v>1057</v>
      </c>
      <c r="D29" s="630">
        <v>1451</v>
      </c>
      <c r="E29" s="556">
        <v>518</v>
      </c>
      <c r="F29" s="1032">
        <v>195</v>
      </c>
      <c r="G29" s="1032">
        <v>246</v>
      </c>
      <c r="H29" s="1032">
        <v>207</v>
      </c>
      <c r="I29" s="877">
        <v>275</v>
      </c>
      <c r="J29" s="877">
        <v>257</v>
      </c>
      <c r="K29" s="991">
        <v>270</v>
      </c>
      <c r="L29" s="991">
        <v>270</v>
      </c>
      <c r="M29" s="991">
        <v>72</v>
      </c>
      <c r="N29" s="982">
        <f t="shared" si="1"/>
        <v>93</v>
      </c>
      <c r="O29" s="992">
        <f t="shared" si="2"/>
        <v>74</v>
      </c>
      <c r="P29" s="943"/>
      <c r="Q29" s="1152">
        <f t="shared" si="3"/>
        <v>239</v>
      </c>
      <c r="R29" s="1166">
        <f t="shared" si="4"/>
        <v>88.51851851851852</v>
      </c>
      <c r="S29" s="1068"/>
      <c r="T29" s="940">
        <v>165</v>
      </c>
      <c r="U29" s="1094">
        <v>239</v>
      </c>
      <c r="V29" s="1155"/>
    </row>
    <row r="30" spans="1:22" ht="15">
      <c r="A30" s="949" t="s">
        <v>564</v>
      </c>
      <c r="B30" s="684" t="s">
        <v>688</v>
      </c>
      <c r="C30" s="630">
        <v>10408</v>
      </c>
      <c r="D30" s="630">
        <v>11792</v>
      </c>
      <c r="E30" s="556">
        <v>521</v>
      </c>
      <c r="F30" s="1032">
        <v>2310</v>
      </c>
      <c r="G30" s="1032">
        <v>2396</v>
      </c>
      <c r="H30" s="1032">
        <v>2490</v>
      </c>
      <c r="I30" s="877">
        <v>2520</v>
      </c>
      <c r="J30" s="877">
        <v>2926</v>
      </c>
      <c r="K30" s="991">
        <v>2764</v>
      </c>
      <c r="L30" s="991">
        <v>2764</v>
      </c>
      <c r="M30" s="991">
        <v>730</v>
      </c>
      <c r="N30" s="982">
        <f t="shared" si="1"/>
        <v>716</v>
      </c>
      <c r="O30" s="992">
        <f t="shared" si="2"/>
        <v>736</v>
      </c>
      <c r="P30" s="943"/>
      <c r="Q30" s="1152">
        <f t="shared" si="3"/>
        <v>2182</v>
      </c>
      <c r="R30" s="1166">
        <f t="shared" si="4"/>
        <v>78.94356005788711</v>
      </c>
      <c r="S30" s="1068"/>
      <c r="T30" s="940">
        <v>1446</v>
      </c>
      <c r="U30" s="1094">
        <v>2182</v>
      </c>
      <c r="V30" s="877"/>
    </row>
    <row r="31" spans="1:22" ht="15">
      <c r="A31" s="949" t="s">
        <v>566</v>
      </c>
      <c r="B31" s="684" t="s">
        <v>689</v>
      </c>
      <c r="C31" s="630">
        <v>3640</v>
      </c>
      <c r="D31" s="630">
        <v>4174</v>
      </c>
      <c r="E31" s="556" t="s">
        <v>568</v>
      </c>
      <c r="F31" s="1032">
        <v>897</v>
      </c>
      <c r="G31" s="1032">
        <v>935</v>
      </c>
      <c r="H31" s="1032">
        <v>953</v>
      </c>
      <c r="I31" s="877">
        <v>948</v>
      </c>
      <c r="J31" s="877">
        <v>1108</v>
      </c>
      <c r="K31" s="991">
        <v>968</v>
      </c>
      <c r="L31" s="991">
        <v>968</v>
      </c>
      <c r="M31" s="991">
        <v>267</v>
      </c>
      <c r="N31" s="982">
        <f t="shared" si="1"/>
        <v>267</v>
      </c>
      <c r="O31" s="992">
        <f t="shared" si="2"/>
        <v>266</v>
      </c>
      <c r="P31" s="943"/>
      <c r="Q31" s="1152">
        <f t="shared" si="3"/>
        <v>800</v>
      </c>
      <c r="R31" s="1166">
        <f t="shared" si="4"/>
        <v>82.64462809917356</v>
      </c>
      <c r="S31" s="1068"/>
      <c r="T31" s="940">
        <v>534</v>
      </c>
      <c r="U31" s="1094">
        <v>800</v>
      </c>
      <c r="V31" s="877"/>
    </row>
    <row r="32" spans="1:22" ht="15">
      <c r="A32" s="949" t="s">
        <v>569</v>
      </c>
      <c r="B32" s="629" t="s">
        <v>690</v>
      </c>
      <c r="C32" s="630">
        <v>0</v>
      </c>
      <c r="D32" s="630">
        <v>0</v>
      </c>
      <c r="E32" s="556">
        <v>557</v>
      </c>
      <c r="F32" s="1032"/>
      <c r="G32" s="1032"/>
      <c r="H32" s="1032"/>
      <c r="I32" s="877"/>
      <c r="J32" s="877"/>
      <c r="K32" s="991">
        <v>0</v>
      </c>
      <c r="L32" s="991">
        <v>0</v>
      </c>
      <c r="M32" s="991"/>
      <c r="N32" s="982">
        <f t="shared" si="1"/>
        <v>0</v>
      </c>
      <c r="O32" s="992">
        <f t="shared" si="2"/>
        <v>0</v>
      </c>
      <c r="P32" s="943"/>
      <c r="Q32" s="1152">
        <f t="shared" si="3"/>
        <v>0</v>
      </c>
      <c r="R32" s="1166" t="e">
        <f t="shared" si="4"/>
        <v>#DIV/0!</v>
      </c>
      <c r="S32" s="1068"/>
      <c r="T32" s="940"/>
      <c r="U32" s="1094"/>
      <c r="V32" s="877"/>
    </row>
    <row r="33" spans="1:22" ht="15">
      <c r="A33" s="949" t="s">
        <v>571</v>
      </c>
      <c r="B33" s="629" t="s">
        <v>691</v>
      </c>
      <c r="C33" s="630">
        <v>1711</v>
      </c>
      <c r="D33" s="630">
        <v>1801</v>
      </c>
      <c r="E33" s="556">
        <v>551</v>
      </c>
      <c r="F33" s="1032">
        <v>21</v>
      </c>
      <c r="G33" s="1032">
        <v>40</v>
      </c>
      <c r="H33" s="1032">
        <v>60</v>
      </c>
      <c r="I33" s="877">
        <v>59</v>
      </c>
      <c r="J33" s="877">
        <v>59</v>
      </c>
      <c r="K33" s="991"/>
      <c r="L33" s="991"/>
      <c r="M33" s="991">
        <v>15</v>
      </c>
      <c r="N33" s="982">
        <f t="shared" si="1"/>
        <v>8</v>
      </c>
      <c r="O33" s="992">
        <f t="shared" si="2"/>
        <v>6</v>
      </c>
      <c r="P33" s="943"/>
      <c r="Q33" s="1152">
        <f t="shared" si="3"/>
        <v>29</v>
      </c>
      <c r="R33" s="1166" t="e">
        <f t="shared" si="4"/>
        <v>#DIV/0!</v>
      </c>
      <c r="S33" s="1068"/>
      <c r="T33" s="1032">
        <v>23</v>
      </c>
      <c r="U33" s="1094">
        <v>29</v>
      </c>
      <c r="V33" s="877"/>
    </row>
    <row r="34" spans="1:22" ht="15.75" thickBot="1">
      <c r="A34" s="918" t="s">
        <v>573</v>
      </c>
      <c r="B34" s="634" t="s">
        <v>692</v>
      </c>
      <c r="C34" s="635">
        <v>569</v>
      </c>
      <c r="D34" s="635">
        <v>614</v>
      </c>
      <c r="E34" s="561" t="s">
        <v>574</v>
      </c>
      <c r="F34" s="1033">
        <v>18</v>
      </c>
      <c r="G34" s="1033">
        <v>20</v>
      </c>
      <c r="H34" s="1033">
        <v>28</v>
      </c>
      <c r="I34" s="885">
        <v>21</v>
      </c>
      <c r="J34" s="885">
        <v>78</v>
      </c>
      <c r="K34" s="1104">
        <v>47</v>
      </c>
      <c r="L34" s="1104">
        <v>47</v>
      </c>
      <c r="M34" s="1034">
        <v>4</v>
      </c>
      <c r="N34" s="923">
        <f t="shared" si="1"/>
        <v>15</v>
      </c>
      <c r="O34" s="1001">
        <f t="shared" si="2"/>
        <v>19</v>
      </c>
      <c r="P34" s="934"/>
      <c r="Q34" s="1167">
        <f t="shared" si="3"/>
        <v>38</v>
      </c>
      <c r="R34" s="1168">
        <f t="shared" si="4"/>
        <v>80.85106382978722</v>
      </c>
      <c r="S34" s="1068"/>
      <c r="T34" s="1073">
        <v>19</v>
      </c>
      <c r="U34" s="1106">
        <v>38</v>
      </c>
      <c r="V34" s="1169"/>
    </row>
    <row r="35" spans="1:22" ht="15.75" thickBot="1">
      <c r="A35" s="1022" t="s">
        <v>575</v>
      </c>
      <c r="B35" s="692" t="s">
        <v>576</v>
      </c>
      <c r="C35" s="574">
        <f>SUM(C25:C34)</f>
        <v>25899</v>
      </c>
      <c r="D35" s="574">
        <f>SUM(D25:D34)</f>
        <v>29268</v>
      </c>
      <c r="E35" s="693"/>
      <c r="F35" s="1023">
        <f aca="true" t="shared" si="5" ref="F35:O35">SUM(F25:F34)</f>
        <v>4510</v>
      </c>
      <c r="G35" s="1023">
        <f t="shared" si="5"/>
        <v>4862</v>
      </c>
      <c r="H35" s="1023">
        <f t="shared" si="5"/>
        <v>4946</v>
      </c>
      <c r="I35" s="1023">
        <f t="shared" si="5"/>
        <v>5133</v>
      </c>
      <c r="J35" s="1023">
        <f>SUM(J25:J34)</f>
        <v>5276</v>
      </c>
      <c r="K35" s="1107">
        <f t="shared" si="5"/>
        <v>4979</v>
      </c>
      <c r="L35" s="1107">
        <f t="shared" si="5"/>
        <v>4979</v>
      </c>
      <c r="M35" s="1026">
        <f t="shared" si="5"/>
        <v>1304</v>
      </c>
      <c r="N35" s="1026">
        <f t="shared" si="5"/>
        <v>1309</v>
      </c>
      <c r="O35" s="1170">
        <f t="shared" si="5"/>
        <v>1325</v>
      </c>
      <c r="P35" s="1171"/>
      <c r="Q35" s="1157">
        <f t="shared" si="3"/>
        <v>3938</v>
      </c>
      <c r="R35" s="1158">
        <f t="shared" si="4"/>
        <v>79.09218718618196</v>
      </c>
      <c r="S35" s="1068"/>
      <c r="T35" s="1023">
        <f>SUM(T25:T34)</f>
        <v>2613</v>
      </c>
      <c r="U35" s="889">
        <v>3938</v>
      </c>
      <c r="V35" s="1023">
        <v>0</v>
      </c>
    </row>
    <row r="36" spans="1:22" ht="15">
      <c r="A36" s="939" t="s">
        <v>577</v>
      </c>
      <c r="B36" s="616" t="s">
        <v>693</v>
      </c>
      <c r="C36" s="617">
        <v>0</v>
      </c>
      <c r="D36" s="617">
        <v>0</v>
      </c>
      <c r="E36" s="554">
        <v>601</v>
      </c>
      <c r="F36" s="1031"/>
      <c r="G36" s="1031"/>
      <c r="H36" s="1031"/>
      <c r="I36" s="882"/>
      <c r="J36" s="882"/>
      <c r="K36" s="1100"/>
      <c r="L36" s="1111"/>
      <c r="M36" s="981"/>
      <c r="N36" s="982">
        <f t="shared" si="1"/>
        <v>0</v>
      </c>
      <c r="O36" s="983">
        <f>U36-T36</f>
        <v>0</v>
      </c>
      <c r="P36" s="1112"/>
      <c r="Q36" s="1172">
        <f t="shared" si="3"/>
        <v>0</v>
      </c>
      <c r="R36" s="1165" t="e">
        <f t="shared" si="4"/>
        <v>#DIV/0!</v>
      </c>
      <c r="S36" s="1068"/>
      <c r="T36" s="1031"/>
      <c r="U36" s="1102"/>
      <c r="V36" s="882"/>
    </row>
    <row r="37" spans="1:22" ht="15">
      <c r="A37" s="949" t="s">
        <v>579</v>
      </c>
      <c r="B37" s="629" t="s">
        <v>694</v>
      </c>
      <c r="C37" s="630">
        <v>1190</v>
      </c>
      <c r="D37" s="630">
        <v>1857</v>
      </c>
      <c r="E37" s="556">
        <v>602</v>
      </c>
      <c r="F37" s="1032">
        <v>266</v>
      </c>
      <c r="G37" s="1032">
        <v>253</v>
      </c>
      <c r="H37" s="1032">
        <v>355</v>
      </c>
      <c r="I37" s="877">
        <v>364</v>
      </c>
      <c r="J37" s="877">
        <v>362</v>
      </c>
      <c r="K37" s="991"/>
      <c r="L37" s="1092"/>
      <c r="M37" s="991">
        <v>116</v>
      </c>
      <c r="N37" s="982">
        <f t="shared" si="1"/>
        <v>120</v>
      </c>
      <c r="O37" s="992">
        <f>U37-T37</f>
        <v>44</v>
      </c>
      <c r="P37" s="943"/>
      <c r="Q37" s="1152">
        <f t="shared" si="3"/>
        <v>280</v>
      </c>
      <c r="R37" s="1166" t="e">
        <f t="shared" si="4"/>
        <v>#DIV/0!</v>
      </c>
      <c r="S37" s="1068"/>
      <c r="T37" s="1032">
        <v>236</v>
      </c>
      <c r="U37" s="1094">
        <v>280</v>
      </c>
      <c r="V37" s="877"/>
    </row>
    <row r="38" spans="1:22" ht="15">
      <c r="A38" s="949" t="s">
        <v>581</v>
      </c>
      <c r="B38" s="629" t="s">
        <v>695</v>
      </c>
      <c r="C38" s="630">
        <v>0</v>
      </c>
      <c r="D38" s="630">
        <v>0</v>
      </c>
      <c r="E38" s="556">
        <v>604</v>
      </c>
      <c r="F38" s="1032"/>
      <c r="G38" s="1032"/>
      <c r="H38" s="1032"/>
      <c r="I38" s="877"/>
      <c r="J38" s="877"/>
      <c r="K38" s="991"/>
      <c r="L38" s="1092"/>
      <c r="M38" s="991"/>
      <c r="N38" s="982">
        <f t="shared" si="1"/>
        <v>0</v>
      </c>
      <c r="O38" s="992">
        <f>U38-T38</f>
        <v>0</v>
      </c>
      <c r="P38" s="943"/>
      <c r="Q38" s="1152">
        <f t="shared" si="3"/>
        <v>0</v>
      </c>
      <c r="R38" s="1166" t="e">
        <f t="shared" si="4"/>
        <v>#DIV/0!</v>
      </c>
      <c r="S38" s="1068"/>
      <c r="T38" s="1032"/>
      <c r="U38" s="1094"/>
      <c r="V38" s="877"/>
    </row>
    <row r="39" spans="1:22" ht="15">
      <c r="A39" s="949" t="s">
        <v>583</v>
      </c>
      <c r="B39" s="629" t="s">
        <v>696</v>
      </c>
      <c r="C39" s="630">
        <v>12472</v>
      </c>
      <c r="D39" s="630">
        <v>13728</v>
      </c>
      <c r="E39" s="556" t="s">
        <v>585</v>
      </c>
      <c r="F39" s="1032">
        <v>4475</v>
      </c>
      <c r="G39" s="1032">
        <v>4639</v>
      </c>
      <c r="H39" s="1032">
        <v>4404</v>
      </c>
      <c r="I39" s="877">
        <v>4342</v>
      </c>
      <c r="J39" s="877">
        <v>4912</v>
      </c>
      <c r="K39" s="991">
        <v>4979</v>
      </c>
      <c r="L39" s="1092">
        <v>4979</v>
      </c>
      <c r="M39" s="991">
        <v>1252</v>
      </c>
      <c r="N39" s="982">
        <f t="shared" si="1"/>
        <v>1239</v>
      </c>
      <c r="O39" s="992">
        <f>U39-T39</f>
        <v>1245</v>
      </c>
      <c r="P39" s="943"/>
      <c r="Q39" s="1152">
        <f t="shared" si="3"/>
        <v>3736</v>
      </c>
      <c r="R39" s="1166">
        <f t="shared" si="4"/>
        <v>75.03514762000401</v>
      </c>
      <c r="S39" s="1068"/>
      <c r="T39" s="1032">
        <v>2491</v>
      </c>
      <c r="U39" s="1094">
        <v>3736</v>
      </c>
      <c r="V39" s="877"/>
    </row>
    <row r="40" spans="1:22" ht="15.75" thickBot="1">
      <c r="A40" s="918" t="s">
        <v>586</v>
      </c>
      <c r="B40" s="634" t="s">
        <v>692</v>
      </c>
      <c r="C40" s="635">
        <v>12330</v>
      </c>
      <c r="D40" s="635">
        <v>13218</v>
      </c>
      <c r="E40" s="561" t="s">
        <v>587</v>
      </c>
      <c r="F40" s="1033">
        <v>20</v>
      </c>
      <c r="G40" s="1033">
        <v>175</v>
      </c>
      <c r="H40" s="1033">
        <v>187</v>
      </c>
      <c r="I40" s="885">
        <v>444</v>
      </c>
      <c r="J40" s="885">
        <v>4</v>
      </c>
      <c r="K40" s="1104"/>
      <c r="L40" s="1114"/>
      <c r="M40" s="1034"/>
      <c r="N40" s="982">
        <f t="shared" si="1"/>
        <v>0</v>
      </c>
      <c r="O40" s="1001">
        <f>U40-T40</f>
        <v>0</v>
      </c>
      <c r="P40" s="934"/>
      <c r="Q40" s="1154">
        <f t="shared" si="3"/>
        <v>0</v>
      </c>
      <c r="R40" s="1173" t="e">
        <f t="shared" si="4"/>
        <v>#DIV/0!</v>
      </c>
      <c r="S40" s="1068"/>
      <c r="T40" s="1073">
        <v>0</v>
      </c>
      <c r="U40" s="1106"/>
      <c r="V40" s="885"/>
    </row>
    <row r="41" spans="1:22" ht="15.75" thickBot="1">
      <c r="A41" s="1022" t="s">
        <v>588</v>
      </c>
      <c r="B41" s="692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1023">
        <f aca="true" t="shared" si="6" ref="F41:P41">SUM(F36:F40)</f>
        <v>4761</v>
      </c>
      <c r="G41" s="1023">
        <f t="shared" si="6"/>
        <v>5067</v>
      </c>
      <c r="H41" s="1023">
        <f t="shared" si="6"/>
        <v>4946</v>
      </c>
      <c r="I41" s="1023">
        <f t="shared" si="6"/>
        <v>5150</v>
      </c>
      <c r="J41" s="1023">
        <f>SUM(J36:J40)</f>
        <v>5278</v>
      </c>
      <c r="K41" s="1107">
        <f t="shared" si="6"/>
        <v>4979</v>
      </c>
      <c r="L41" s="1108">
        <f t="shared" si="6"/>
        <v>4979</v>
      </c>
      <c r="M41" s="1023">
        <f t="shared" si="6"/>
        <v>1368</v>
      </c>
      <c r="N41" s="1023">
        <f t="shared" si="6"/>
        <v>1359</v>
      </c>
      <c r="O41" s="1028">
        <f t="shared" si="6"/>
        <v>1289</v>
      </c>
      <c r="P41" s="1174">
        <f t="shared" si="6"/>
        <v>0</v>
      </c>
      <c r="Q41" s="1159">
        <f t="shared" si="3"/>
        <v>4016</v>
      </c>
      <c r="R41" s="1160">
        <f t="shared" si="4"/>
        <v>80.65876682064672</v>
      </c>
      <c r="S41" s="1068"/>
      <c r="T41" s="1023">
        <f>SUM(T36:T40)</f>
        <v>2727</v>
      </c>
      <c r="U41" s="889">
        <v>4016</v>
      </c>
      <c r="V41" s="1023">
        <v>0</v>
      </c>
    </row>
    <row r="42" spans="1:22" ht="6.75" customHeight="1" thickBot="1">
      <c r="A42" s="918"/>
      <c r="B42" s="551"/>
      <c r="C42" s="706"/>
      <c r="D42" s="706"/>
      <c r="E42" s="570"/>
      <c r="F42" s="1033"/>
      <c r="G42" s="1033"/>
      <c r="H42" s="1033"/>
      <c r="I42" s="889"/>
      <c r="J42" s="889"/>
      <c r="K42" s="1117"/>
      <c r="L42" s="1118"/>
      <c r="M42" s="1033"/>
      <c r="N42" s="982"/>
      <c r="O42" s="924"/>
      <c r="P42" s="1039"/>
      <c r="Q42" s="1161"/>
      <c r="R42" s="1116"/>
      <c r="S42" s="1068"/>
      <c r="T42" s="1033"/>
      <c r="U42" s="889"/>
      <c r="V42" s="889"/>
    </row>
    <row r="43" spans="1:22" ht="15.75" thickBot="1">
      <c r="A43" s="1041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1023">
        <f aca="true" t="shared" si="7" ref="F43:P43">F41-F39</f>
        <v>286</v>
      </c>
      <c r="G43" s="1023">
        <f t="shared" si="7"/>
        <v>428</v>
      </c>
      <c r="H43" s="1023">
        <f t="shared" si="7"/>
        <v>542</v>
      </c>
      <c r="I43" s="1023">
        <f t="shared" si="7"/>
        <v>808</v>
      </c>
      <c r="J43" s="1023">
        <f>J41-J39</f>
        <v>366</v>
      </c>
      <c r="K43" s="1023">
        <f>K41-K39</f>
        <v>0</v>
      </c>
      <c r="L43" s="1030">
        <f t="shared" si="7"/>
        <v>0</v>
      </c>
      <c r="M43" s="1023">
        <f t="shared" si="7"/>
        <v>116</v>
      </c>
      <c r="N43" s="1023">
        <f t="shared" si="7"/>
        <v>120</v>
      </c>
      <c r="O43" s="1023">
        <f t="shared" si="7"/>
        <v>44</v>
      </c>
      <c r="P43" s="889">
        <f t="shared" si="7"/>
        <v>0</v>
      </c>
      <c r="Q43" s="1161">
        <f t="shared" si="3"/>
        <v>280</v>
      </c>
      <c r="R43" s="1116" t="e">
        <f t="shared" si="4"/>
        <v>#DIV/0!</v>
      </c>
      <c r="S43" s="1068"/>
      <c r="T43" s="1023">
        <f>T41-T39</f>
        <v>236</v>
      </c>
      <c r="U43" s="1023">
        <f>U41-U39</f>
        <v>280</v>
      </c>
      <c r="V43" s="1023">
        <f>V41-V39</f>
        <v>0</v>
      </c>
    </row>
    <row r="44" spans="1:22" ht="15.75" thickBot="1">
      <c r="A44" s="1022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1023">
        <f aca="true" t="shared" si="8" ref="F44:P44">F41-F35</f>
        <v>251</v>
      </c>
      <c r="G44" s="1023">
        <f t="shared" si="8"/>
        <v>205</v>
      </c>
      <c r="H44" s="1023">
        <f t="shared" si="8"/>
        <v>0</v>
      </c>
      <c r="I44" s="1023">
        <f t="shared" si="8"/>
        <v>17</v>
      </c>
      <c r="J44" s="1023">
        <f>J41-J35</f>
        <v>2</v>
      </c>
      <c r="K44" s="1023">
        <f>K41-K35</f>
        <v>0</v>
      </c>
      <c r="L44" s="1030">
        <f t="shared" si="8"/>
        <v>0</v>
      </c>
      <c r="M44" s="1023">
        <f t="shared" si="8"/>
        <v>64</v>
      </c>
      <c r="N44" s="1023">
        <f t="shared" si="8"/>
        <v>50</v>
      </c>
      <c r="O44" s="1023">
        <f t="shared" si="8"/>
        <v>-36</v>
      </c>
      <c r="P44" s="889">
        <f t="shared" si="8"/>
        <v>0</v>
      </c>
      <c r="Q44" s="1161">
        <f t="shared" si="3"/>
        <v>78</v>
      </c>
      <c r="R44" s="1116" t="e">
        <f t="shared" si="4"/>
        <v>#DIV/0!</v>
      </c>
      <c r="S44" s="1068"/>
      <c r="T44" s="1023">
        <f>T41-T35</f>
        <v>114</v>
      </c>
      <c r="U44" s="1023">
        <f>U41-U35</f>
        <v>78</v>
      </c>
      <c r="V44" s="1023">
        <f>V41-V35</f>
        <v>0</v>
      </c>
    </row>
    <row r="45" spans="1:22" ht="15.75" thickBot="1">
      <c r="A45" s="1045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1023">
        <f aca="true" t="shared" si="9" ref="F45:P45">F44-F39</f>
        <v>-4224</v>
      </c>
      <c r="G45" s="1023">
        <f t="shared" si="9"/>
        <v>-4434</v>
      </c>
      <c r="H45" s="1023">
        <f t="shared" si="9"/>
        <v>-4404</v>
      </c>
      <c r="I45" s="1023">
        <f t="shared" si="9"/>
        <v>-4325</v>
      </c>
      <c r="J45" s="1023">
        <f>J44-J39</f>
        <v>-4910</v>
      </c>
      <c r="K45" s="1023">
        <f t="shared" si="9"/>
        <v>-4979</v>
      </c>
      <c r="L45" s="1030">
        <f t="shared" si="9"/>
        <v>-4979</v>
      </c>
      <c r="M45" s="1023">
        <f t="shared" si="9"/>
        <v>-1188</v>
      </c>
      <c r="N45" s="1023">
        <f t="shared" si="9"/>
        <v>-1189</v>
      </c>
      <c r="O45" s="1023">
        <f t="shared" si="9"/>
        <v>-1281</v>
      </c>
      <c r="P45" s="889">
        <f t="shared" si="9"/>
        <v>0</v>
      </c>
      <c r="Q45" s="1161">
        <f t="shared" si="3"/>
        <v>-3658</v>
      </c>
      <c r="R45" s="1030">
        <f t="shared" si="4"/>
        <v>73.46856798553927</v>
      </c>
      <c r="S45" s="1068"/>
      <c r="T45" s="1023">
        <f>T44-T39</f>
        <v>-2377</v>
      </c>
      <c r="U45" s="1023">
        <f>U44-U39</f>
        <v>-3658</v>
      </c>
      <c r="V45" s="1023">
        <f>V44-V39</f>
        <v>0</v>
      </c>
    </row>
    <row r="46" ht="12.75">
      <c r="A46" s="1053"/>
    </row>
    <row r="47" ht="12.75">
      <c r="A47" s="1053"/>
    </row>
    <row r="48" spans="1:22" ht="14.25">
      <c r="A48" s="893" t="s">
        <v>697</v>
      </c>
      <c r="Q48" s="108"/>
      <c r="R48" s="108"/>
      <c r="S48" s="108"/>
      <c r="T48" s="108"/>
      <c r="U48" s="108"/>
      <c r="V48" s="108"/>
    </row>
    <row r="49" spans="1:22" ht="14.25">
      <c r="A49" s="894" t="s">
        <v>698</v>
      </c>
      <c r="Q49" s="108"/>
      <c r="R49" s="108"/>
      <c r="S49" s="108"/>
      <c r="T49" s="108"/>
      <c r="U49" s="108"/>
      <c r="V49" s="108"/>
    </row>
    <row r="50" spans="1:22" ht="14.25">
      <c r="A50" s="1047" t="s">
        <v>699</v>
      </c>
      <c r="Q50" s="108"/>
      <c r="R50" s="108"/>
      <c r="S50" s="108"/>
      <c r="T50" s="108"/>
      <c r="U50" s="108"/>
      <c r="V50" s="108"/>
    </row>
    <row r="51" spans="1:22" ht="14.25">
      <c r="A51" s="1048"/>
      <c r="Q51" s="108"/>
      <c r="R51" s="108"/>
      <c r="S51" s="108"/>
      <c r="T51" s="108"/>
      <c r="U51" s="108"/>
      <c r="V51" s="108"/>
    </row>
    <row r="52" spans="1:22" ht="12.75">
      <c r="A52" s="1053" t="s">
        <v>700</v>
      </c>
      <c r="Q52" s="108"/>
      <c r="R52" s="108"/>
      <c r="S52" s="108"/>
      <c r="T52" s="108"/>
      <c r="U52" s="108"/>
      <c r="V52" s="108"/>
    </row>
    <row r="53" spans="1:22" ht="12.75">
      <c r="A53" s="1053"/>
      <c r="Q53" s="108"/>
      <c r="R53" s="108"/>
      <c r="S53" s="108"/>
      <c r="T53" s="108"/>
      <c r="U53" s="108"/>
      <c r="V53" s="108"/>
    </row>
    <row r="54" spans="1:22" ht="12.75">
      <c r="A54" s="1053" t="s">
        <v>713</v>
      </c>
      <c r="Q54" s="108"/>
      <c r="R54" s="108"/>
      <c r="S54" s="108"/>
      <c r="T54" s="108"/>
      <c r="U54" s="108"/>
      <c r="V54" s="108"/>
    </row>
    <row r="57" ht="12.75">
      <c r="A57" s="1053"/>
    </row>
    <row r="58" ht="12.75">
      <c r="A58" s="1053"/>
    </row>
    <row r="59" ht="12.75">
      <c r="A59" s="1053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9.140625" style="576" customWidth="1"/>
    <col min="6" max="8" width="0" style="108" hidden="1" customWidth="1"/>
    <col min="9" max="10" width="0" style="496" hidden="1" customWidth="1"/>
    <col min="11" max="11" width="11.57421875" style="496" customWidth="1"/>
    <col min="12" max="12" width="11.421875" style="496" customWidth="1"/>
    <col min="13" max="13" width="9.8515625" style="496" customWidth="1"/>
    <col min="14" max="14" width="9.140625" style="496" customWidth="1"/>
    <col min="15" max="15" width="9.28125" style="496" customWidth="1"/>
    <col min="16" max="16" width="9.140625" style="496" customWidth="1"/>
    <col min="17" max="17" width="12.00390625" style="496" customWidth="1"/>
    <col min="18" max="18" width="9.140625" style="478" customWidth="1"/>
    <col min="19" max="19" width="3.421875" style="496" customWidth="1"/>
    <col min="20" max="20" width="12.57421875" style="496" customWidth="1"/>
    <col min="21" max="21" width="11.8515625" style="496" customWidth="1"/>
    <col min="22" max="22" width="12.00390625" style="496" customWidth="1"/>
    <col min="23" max="16384" width="9.140625" style="108" customWidth="1"/>
  </cols>
  <sheetData>
    <row r="1" spans="1:22" ht="18">
      <c r="A1" s="1186" t="s">
        <v>665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902"/>
      <c r="L3" s="897"/>
      <c r="M3" s="897"/>
    </row>
    <row r="4" spans="1:13" ht="13.5" thickBot="1">
      <c r="A4" s="1053"/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898" t="s">
        <v>709</v>
      </c>
      <c r="B5" s="899" t="s">
        <v>714</v>
      </c>
      <c r="C5" s="579"/>
      <c r="D5" s="579"/>
      <c r="E5" s="580"/>
      <c r="F5" s="579"/>
      <c r="G5" s="581"/>
      <c r="H5" s="581"/>
      <c r="I5" s="855"/>
      <c r="J5" s="855"/>
      <c r="K5" s="855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1054" t="s">
        <v>27</v>
      </c>
      <c r="B7" s="904" t="s">
        <v>498</v>
      </c>
      <c r="C7" s="1175"/>
      <c r="D7" s="1175"/>
      <c r="E7" s="904" t="s">
        <v>501</v>
      </c>
      <c r="F7" s="1175"/>
      <c r="G7" s="1175"/>
      <c r="H7" s="904" t="s">
        <v>667</v>
      </c>
      <c r="I7" s="1128" t="s">
        <v>668</v>
      </c>
      <c r="J7" s="1128" t="s">
        <v>669</v>
      </c>
      <c r="K7" s="1055" t="s">
        <v>670</v>
      </c>
      <c r="L7" s="1055"/>
      <c r="M7" s="1055" t="s">
        <v>495</v>
      </c>
      <c r="N7" s="1055"/>
      <c r="O7" s="1055"/>
      <c r="P7" s="1055"/>
      <c r="Q7" s="1176" t="s">
        <v>671</v>
      </c>
      <c r="R7" s="1057" t="s">
        <v>497</v>
      </c>
      <c r="T7" s="907" t="s">
        <v>672</v>
      </c>
      <c r="U7" s="907"/>
      <c r="V7" s="907"/>
    </row>
    <row r="8" spans="1:22" ht="13.5" thickBot="1">
      <c r="A8" s="1054"/>
      <c r="B8" s="904"/>
      <c r="C8" s="1177" t="s">
        <v>499</v>
      </c>
      <c r="D8" s="1177" t="s">
        <v>500</v>
      </c>
      <c r="E8" s="904"/>
      <c r="F8" s="1177" t="s">
        <v>673</v>
      </c>
      <c r="G8" s="1177" t="s">
        <v>674</v>
      </c>
      <c r="H8" s="904"/>
      <c r="I8" s="904"/>
      <c r="J8" s="904"/>
      <c r="K8" s="912" t="s">
        <v>31</v>
      </c>
      <c r="L8" s="912" t="s">
        <v>32</v>
      </c>
      <c r="M8" s="913" t="s">
        <v>508</v>
      </c>
      <c r="N8" s="1058" t="s">
        <v>511</v>
      </c>
      <c r="O8" s="914" t="s">
        <v>514</v>
      </c>
      <c r="P8" s="915" t="s">
        <v>517</v>
      </c>
      <c r="Q8" s="912" t="s">
        <v>518</v>
      </c>
      <c r="R8" s="1059" t="s">
        <v>519</v>
      </c>
      <c r="T8" s="1060" t="s">
        <v>676</v>
      </c>
      <c r="U8" s="1061" t="s">
        <v>677</v>
      </c>
      <c r="V8" s="1061" t="s">
        <v>678</v>
      </c>
    </row>
    <row r="9" spans="1:22" ht="12.75">
      <c r="A9" s="918" t="s">
        <v>520</v>
      </c>
      <c r="B9" s="599"/>
      <c r="C9" s="600">
        <v>104</v>
      </c>
      <c r="D9" s="600">
        <v>104</v>
      </c>
      <c r="E9" s="546"/>
      <c r="F9" s="1062">
        <v>10</v>
      </c>
      <c r="G9" s="1062">
        <v>10</v>
      </c>
      <c r="H9" s="1062">
        <v>10</v>
      </c>
      <c r="I9" s="929">
        <v>10</v>
      </c>
      <c r="J9" s="929">
        <v>10</v>
      </c>
      <c r="K9" s="946"/>
      <c r="L9" s="946"/>
      <c r="M9" s="1063">
        <v>10</v>
      </c>
      <c r="N9" s="944">
        <f>T9</f>
        <v>10</v>
      </c>
      <c r="O9" s="1129">
        <f>U9</f>
        <v>10</v>
      </c>
      <c r="P9" s="1065"/>
      <c r="Q9" s="1066" t="s">
        <v>521</v>
      </c>
      <c r="R9" s="1067" t="s">
        <v>521</v>
      </c>
      <c r="S9" s="1068"/>
      <c r="T9" s="979">
        <v>10</v>
      </c>
      <c r="U9" s="928">
        <v>10</v>
      </c>
      <c r="V9" s="929"/>
    </row>
    <row r="10" spans="1:22" ht="13.5" thickBot="1">
      <c r="A10" s="930" t="s">
        <v>522</v>
      </c>
      <c r="B10" s="606"/>
      <c r="C10" s="607">
        <v>101</v>
      </c>
      <c r="D10" s="607">
        <v>104</v>
      </c>
      <c r="E10" s="608"/>
      <c r="F10" s="1070">
        <v>9</v>
      </c>
      <c r="G10" s="1070">
        <v>9</v>
      </c>
      <c r="H10" s="1070">
        <v>9</v>
      </c>
      <c r="I10" s="936">
        <v>9</v>
      </c>
      <c r="J10" s="936">
        <v>9</v>
      </c>
      <c r="K10" s="933"/>
      <c r="L10" s="933"/>
      <c r="M10" s="861">
        <v>9</v>
      </c>
      <c r="N10" s="955">
        <f aca="true" t="shared" si="0" ref="N10:O21">T10</f>
        <v>9</v>
      </c>
      <c r="O10" s="1130">
        <f t="shared" si="0"/>
        <v>9</v>
      </c>
      <c r="P10" s="956"/>
      <c r="Q10" s="933" t="s">
        <v>521</v>
      </c>
      <c r="R10" s="1072" t="s">
        <v>521</v>
      </c>
      <c r="S10" s="1068"/>
      <c r="T10" s="1164">
        <v>9</v>
      </c>
      <c r="U10" s="938">
        <v>9</v>
      </c>
      <c r="V10" s="936"/>
    </row>
    <row r="11" spans="1:22" ht="12.75">
      <c r="A11" s="939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1032">
        <v>1910.49</v>
      </c>
      <c r="G11" s="1032">
        <v>2472</v>
      </c>
      <c r="H11" s="1032">
        <v>2529</v>
      </c>
      <c r="I11" s="948">
        <v>2500</v>
      </c>
      <c r="J11" s="948">
        <v>2683</v>
      </c>
      <c r="K11" s="945" t="s">
        <v>521</v>
      </c>
      <c r="L11" s="945" t="s">
        <v>521</v>
      </c>
      <c r="M11" s="865">
        <v>2683</v>
      </c>
      <c r="N11" s="1009">
        <f t="shared" si="0"/>
        <v>2683</v>
      </c>
      <c r="O11" s="944">
        <f t="shared" si="0"/>
        <v>2683</v>
      </c>
      <c r="P11" s="984"/>
      <c r="Q11" s="948" t="s">
        <v>521</v>
      </c>
      <c r="R11" s="1075" t="s">
        <v>521</v>
      </c>
      <c r="S11" s="1068"/>
      <c r="T11" s="979">
        <v>2683</v>
      </c>
      <c r="U11" s="947">
        <v>2683</v>
      </c>
      <c r="V11" s="948"/>
    </row>
    <row r="12" spans="1:22" ht="12.75">
      <c r="A12" s="949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1032">
        <v>-1864.79</v>
      </c>
      <c r="G12" s="1032">
        <v>-2333</v>
      </c>
      <c r="H12" s="1032">
        <v>2430</v>
      </c>
      <c r="I12" s="948">
        <v>2430</v>
      </c>
      <c r="J12" s="948">
        <v>2639</v>
      </c>
      <c r="K12" s="952" t="s">
        <v>521</v>
      </c>
      <c r="L12" s="952" t="s">
        <v>521</v>
      </c>
      <c r="M12" s="867">
        <v>2639</v>
      </c>
      <c r="N12" s="1014">
        <f t="shared" si="0"/>
        <v>2639</v>
      </c>
      <c r="O12" s="951">
        <f t="shared" si="0"/>
        <v>2639</v>
      </c>
      <c r="P12" s="993"/>
      <c r="Q12" s="948" t="s">
        <v>521</v>
      </c>
      <c r="R12" s="1075" t="s">
        <v>521</v>
      </c>
      <c r="S12" s="1068"/>
      <c r="T12" s="940">
        <v>2639</v>
      </c>
      <c r="U12" s="947">
        <v>2639</v>
      </c>
      <c r="V12" s="948"/>
    </row>
    <row r="13" spans="1:22" ht="12.75">
      <c r="A13" s="949" t="s">
        <v>529</v>
      </c>
      <c r="B13" s="629" t="s">
        <v>679</v>
      </c>
      <c r="C13" s="630">
        <v>604</v>
      </c>
      <c r="D13" s="630">
        <v>619</v>
      </c>
      <c r="E13" s="618" t="s">
        <v>531</v>
      </c>
      <c r="F13" s="1032">
        <v>17</v>
      </c>
      <c r="G13" s="1032">
        <v>21</v>
      </c>
      <c r="H13" s="1032">
        <v>23</v>
      </c>
      <c r="I13" s="948">
        <v>32</v>
      </c>
      <c r="J13" s="948">
        <v>33</v>
      </c>
      <c r="K13" s="952" t="s">
        <v>521</v>
      </c>
      <c r="L13" s="952" t="s">
        <v>521</v>
      </c>
      <c r="M13" s="867">
        <v>16</v>
      </c>
      <c r="N13" s="1014">
        <f t="shared" si="0"/>
        <v>16</v>
      </c>
      <c r="O13" s="951">
        <f t="shared" si="0"/>
        <v>26</v>
      </c>
      <c r="P13" s="993"/>
      <c r="Q13" s="948" t="s">
        <v>521</v>
      </c>
      <c r="R13" s="1075" t="s">
        <v>521</v>
      </c>
      <c r="S13" s="1068"/>
      <c r="T13" s="940">
        <v>16</v>
      </c>
      <c r="U13" s="947">
        <v>26</v>
      </c>
      <c r="V13" s="948"/>
    </row>
    <row r="14" spans="1:22" ht="12.75">
      <c r="A14" s="949" t="s">
        <v>532</v>
      </c>
      <c r="B14" s="629" t="s">
        <v>680</v>
      </c>
      <c r="C14" s="630">
        <v>221</v>
      </c>
      <c r="D14" s="630">
        <v>610</v>
      </c>
      <c r="E14" s="618" t="s">
        <v>521</v>
      </c>
      <c r="F14" s="1032">
        <v>277</v>
      </c>
      <c r="G14" s="1032">
        <v>397</v>
      </c>
      <c r="H14" s="1032">
        <v>476</v>
      </c>
      <c r="I14" s="948">
        <v>459</v>
      </c>
      <c r="J14" s="948">
        <v>467</v>
      </c>
      <c r="K14" s="952" t="s">
        <v>521</v>
      </c>
      <c r="L14" s="952" t="s">
        <v>521</v>
      </c>
      <c r="M14" s="867">
        <v>1268</v>
      </c>
      <c r="N14" s="1014">
        <f t="shared" si="0"/>
        <v>997</v>
      </c>
      <c r="O14" s="951">
        <f t="shared" si="0"/>
        <v>696</v>
      </c>
      <c r="P14" s="993"/>
      <c r="Q14" s="948" t="s">
        <v>521</v>
      </c>
      <c r="R14" s="1075" t="s">
        <v>521</v>
      </c>
      <c r="S14" s="1068"/>
      <c r="T14" s="940">
        <v>997</v>
      </c>
      <c r="U14" s="947">
        <v>696</v>
      </c>
      <c r="V14" s="948"/>
    </row>
    <row r="15" spans="1:22" ht="13.5" thickBot="1">
      <c r="A15" s="918" t="s">
        <v>534</v>
      </c>
      <c r="B15" s="634" t="s">
        <v>681</v>
      </c>
      <c r="C15" s="635">
        <v>2021</v>
      </c>
      <c r="D15" s="635">
        <v>852</v>
      </c>
      <c r="E15" s="550" t="s">
        <v>536</v>
      </c>
      <c r="F15" s="1033">
        <v>586</v>
      </c>
      <c r="G15" s="1033">
        <v>530</v>
      </c>
      <c r="H15" s="1033">
        <v>649</v>
      </c>
      <c r="I15" s="960">
        <v>628</v>
      </c>
      <c r="J15" s="960">
        <v>836</v>
      </c>
      <c r="K15" s="957" t="s">
        <v>521</v>
      </c>
      <c r="L15" s="957" t="s">
        <v>521</v>
      </c>
      <c r="M15" s="858">
        <v>1165</v>
      </c>
      <c r="N15" s="1018">
        <f t="shared" si="0"/>
        <v>1394</v>
      </c>
      <c r="O15" s="955">
        <f t="shared" si="0"/>
        <v>800</v>
      </c>
      <c r="P15" s="1130"/>
      <c r="Q15" s="960" t="s">
        <v>521</v>
      </c>
      <c r="R15" s="1067" t="s">
        <v>521</v>
      </c>
      <c r="S15" s="1068"/>
      <c r="T15" s="931">
        <v>1394</v>
      </c>
      <c r="U15" s="959">
        <v>800</v>
      </c>
      <c r="V15" s="960"/>
    </row>
    <row r="16" spans="1:22" ht="15.75" thickBot="1">
      <c r="A16" s="961" t="s">
        <v>537</v>
      </c>
      <c r="B16" s="641"/>
      <c r="C16" s="642">
        <v>24618</v>
      </c>
      <c r="D16" s="642">
        <v>24087</v>
      </c>
      <c r="E16" s="643"/>
      <c r="F16" s="1023">
        <v>946</v>
      </c>
      <c r="G16" s="1023">
        <v>1109</v>
      </c>
      <c r="H16" s="1023">
        <f>H11-H12+H13+H14+H15</f>
        <v>1247</v>
      </c>
      <c r="I16" s="1023">
        <f>I11-I12+I13+I14+I15</f>
        <v>1189</v>
      </c>
      <c r="J16" s="1084">
        <f>J11-J12+J13+J14+J15</f>
        <v>1380</v>
      </c>
      <c r="K16" s="967" t="s">
        <v>521</v>
      </c>
      <c r="L16" s="967" t="s">
        <v>521</v>
      </c>
      <c r="M16" s="1178">
        <f>M11-M12+M13+M14+M15</f>
        <v>2493</v>
      </c>
      <c r="N16" s="1179">
        <f t="shared" si="0"/>
        <v>2451</v>
      </c>
      <c r="O16" s="1180">
        <f t="shared" si="0"/>
        <v>1566</v>
      </c>
      <c r="P16" s="1082"/>
      <c r="Q16" s="969" t="s">
        <v>521</v>
      </c>
      <c r="R16" s="1083" t="s">
        <v>521</v>
      </c>
      <c r="S16" s="1068"/>
      <c r="T16" s="1084">
        <v>2451</v>
      </c>
      <c r="U16" s="1084">
        <v>1566</v>
      </c>
      <c r="V16" s="1084">
        <v>0</v>
      </c>
    </row>
    <row r="17" spans="1:22" ht="12.75">
      <c r="A17" s="91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1033">
        <v>60</v>
      </c>
      <c r="G17" s="1033">
        <v>154</v>
      </c>
      <c r="H17" s="920">
        <v>113</v>
      </c>
      <c r="I17" s="959">
        <v>84</v>
      </c>
      <c r="J17" s="960">
        <v>59</v>
      </c>
      <c r="K17" s="942" t="s">
        <v>521</v>
      </c>
      <c r="L17" s="942" t="s">
        <v>521</v>
      </c>
      <c r="M17" s="858">
        <v>59</v>
      </c>
      <c r="N17" s="1009">
        <f t="shared" si="0"/>
        <v>59</v>
      </c>
      <c r="O17" s="944">
        <f>U17</f>
        <v>59</v>
      </c>
      <c r="P17" s="984"/>
      <c r="Q17" s="960" t="s">
        <v>521</v>
      </c>
      <c r="R17" s="1067" t="s">
        <v>521</v>
      </c>
      <c r="S17" s="1068"/>
      <c r="T17" s="941">
        <v>59</v>
      </c>
      <c r="U17" s="959">
        <v>59</v>
      </c>
      <c r="V17" s="960"/>
    </row>
    <row r="18" spans="1:22" ht="12.75">
      <c r="A18" s="949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1032">
        <v>364</v>
      </c>
      <c r="G18" s="1032">
        <v>213</v>
      </c>
      <c r="H18" s="940">
        <v>352</v>
      </c>
      <c r="I18" s="947">
        <v>246</v>
      </c>
      <c r="J18" s="948">
        <v>236</v>
      </c>
      <c r="K18" s="864" t="s">
        <v>521</v>
      </c>
      <c r="L18" s="864" t="s">
        <v>521</v>
      </c>
      <c r="M18" s="867">
        <v>240</v>
      </c>
      <c r="N18" s="1014">
        <f t="shared" si="0"/>
        <v>333</v>
      </c>
      <c r="O18" s="951">
        <f>U18</f>
        <v>313</v>
      </c>
      <c r="P18" s="993"/>
      <c r="Q18" s="948" t="s">
        <v>521</v>
      </c>
      <c r="R18" s="1075" t="s">
        <v>521</v>
      </c>
      <c r="S18" s="1068"/>
      <c r="T18" s="940">
        <v>333</v>
      </c>
      <c r="U18" s="947">
        <v>313</v>
      </c>
      <c r="V18" s="948"/>
    </row>
    <row r="19" spans="1:22" ht="12.75">
      <c r="A19" s="949" t="s">
        <v>543</v>
      </c>
      <c r="B19" s="629" t="s">
        <v>682</v>
      </c>
      <c r="C19" s="630">
        <v>14718</v>
      </c>
      <c r="D19" s="630">
        <v>14718</v>
      </c>
      <c r="E19" s="618" t="s">
        <v>521</v>
      </c>
      <c r="F19" s="1032">
        <v>0</v>
      </c>
      <c r="G19" s="1032">
        <v>0</v>
      </c>
      <c r="H19" s="940">
        <v>0</v>
      </c>
      <c r="I19" s="947">
        <v>0</v>
      </c>
      <c r="J19" s="948">
        <v>0</v>
      </c>
      <c r="K19" s="864" t="s">
        <v>521</v>
      </c>
      <c r="L19" s="864" t="s">
        <v>521</v>
      </c>
      <c r="M19" s="867">
        <v>0</v>
      </c>
      <c r="N19" s="1014">
        <f t="shared" si="0"/>
        <v>0</v>
      </c>
      <c r="O19" s="951">
        <f>U19</f>
        <v>0</v>
      </c>
      <c r="P19" s="993"/>
      <c r="Q19" s="948" t="s">
        <v>521</v>
      </c>
      <c r="R19" s="1075" t="s">
        <v>521</v>
      </c>
      <c r="S19" s="1068"/>
      <c r="T19" s="940">
        <v>0</v>
      </c>
      <c r="U19" s="947">
        <v>0</v>
      </c>
      <c r="V19" s="948"/>
    </row>
    <row r="20" spans="1:22" ht="12.75">
      <c r="A20" s="949" t="s">
        <v>545</v>
      </c>
      <c r="B20" s="629" t="s">
        <v>544</v>
      </c>
      <c r="C20" s="630">
        <v>1758</v>
      </c>
      <c r="D20" s="630">
        <v>1762</v>
      </c>
      <c r="E20" s="618" t="s">
        <v>521</v>
      </c>
      <c r="F20" s="1032">
        <v>195</v>
      </c>
      <c r="G20" s="1032">
        <v>249</v>
      </c>
      <c r="H20" s="940">
        <v>742</v>
      </c>
      <c r="I20" s="947">
        <v>745</v>
      </c>
      <c r="J20" s="948">
        <v>984</v>
      </c>
      <c r="K20" s="864" t="s">
        <v>521</v>
      </c>
      <c r="L20" s="864" t="s">
        <v>521</v>
      </c>
      <c r="M20" s="867">
        <v>1852</v>
      </c>
      <c r="N20" s="1014">
        <f t="shared" si="0"/>
        <v>1817</v>
      </c>
      <c r="O20" s="951">
        <f>U20</f>
        <v>1207</v>
      </c>
      <c r="P20" s="993"/>
      <c r="Q20" s="948" t="s">
        <v>521</v>
      </c>
      <c r="R20" s="1075" t="s">
        <v>521</v>
      </c>
      <c r="S20" s="1068"/>
      <c r="T20" s="940">
        <v>1817</v>
      </c>
      <c r="U20" s="947">
        <v>1207</v>
      </c>
      <c r="V20" s="948"/>
    </row>
    <row r="21" spans="1:22" ht="13.5" thickBot="1">
      <c r="A21" s="930" t="s">
        <v>547</v>
      </c>
      <c r="B21" s="653"/>
      <c r="C21" s="654">
        <v>0</v>
      </c>
      <c r="D21" s="654">
        <v>0</v>
      </c>
      <c r="E21" s="655" t="s">
        <v>521</v>
      </c>
      <c r="F21" s="1032">
        <v>0</v>
      </c>
      <c r="G21" s="1032">
        <v>0</v>
      </c>
      <c r="H21" s="940">
        <v>0</v>
      </c>
      <c r="I21" s="1052">
        <v>0</v>
      </c>
      <c r="J21" s="977">
        <v>0</v>
      </c>
      <c r="K21" s="860" t="s">
        <v>521</v>
      </c>
      <c r="L21" s="860" t="s">
        <v>521</v>
      </c>
      <c r="M21" s="873">
        <v>0</v>
      </c>
      <c r="N21" s="1181">
        <f t="shared" si="0"/>
        <v>0</v>
      </c>
      <c r="O21" s="935">
        <f>U21</f>
        <v>0</v>
      </c>
      <c r="P21" s="1002"/>
      <c r="Q21" s="977" t="s">
        <v>521</v>
      </c>
      <c r="R21" s="1087" t="s">
        <v>521</v>
      </c>
      <c r="S21" s="1068"/>
      <c r="T21" s="1164">
        <v>0</v>
      </c>
      <c r="U21" s="1052">
        <v>0</v>
      </c>
      <c r="V21" s="977"/>
    </row>
    <row r="22" spans="1:22" ht="15">
      <c r="A22" s="97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1069">
        <v>3705</v>
      </c>
      <c r="G22" s="1069">
        <v>3925</v>
      </c>
      <c r="H22" s="979">
        <v>4006</v>
      </c>
      <c r="I22" s="875">
        <v>3942</v>
      </c>
      <c r="J22" s="875">
        <v>4360</v>
      </c>
      <c r="K22" s="1100">
        <f>K35</f>
        <v>4443</v>
      </c>
      <c r="L22" s="1100">
        <f>L35</f>
        <v>4443</v>
      </c>
      <c r="M22" s="980">
        <v>1110</v>
      </c>
      <c r="N22" s="1136">
        <v>2222</v>
      </c>
      <c r="O22" s="983">
        <f>U22-T22</f>
        <v>1129</v>
      </c>
      <c r="P22" s="1112"/>
      <c r="Q22" s="1150">
        <f>SUM(M22:P22)</f>
        <v>4461</v>
      </c>
      <c r="R22" s="1138">
        <f>(Q22/L22)*100</f>
        <v>100.40513166779203</v>
      </c>
      <c r="S22" s="1068"/>
      <c r="T22" s="979">
        <v>2249</v>
      </c>
      <c r="U22" s="1090">
        <v>3378</v>
      </c>
      <c r="V22" s="875"/>
    </row>
    <row r="23" spans="1:22" ht="15">
      <c r="A23" s="949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1032"/>
      <c r="G23" s="1032">
        <v>0</v>
      </c>
      <c r="H23" s="940">
        <v>0</v>
      </c>
      <c r="I23" s="877"/>
      <c r="J23" s="877">
        <v>0</v>
      </c>
      <c r="K23" s="991"/>
      <c r="L23" s="1092"/>
      <c r="M23" s="989"/>
      <c r="N23" s="1139">
        <f aca="true" t="shared" si="1" ref="N23:N40">T23-M23</f>
        <v>0</v>
      </c>
      <c r="O23" s="992">
        <f aca="true" t="shared" si="2" ref="O23:O40">U23-T23</f>
        <v>0</v>
      </c>
      <c r="P23" s="943"/>
      <c r="Q23" s="1152">
        <f aca="true" t="shared" si="3" ref="Q23:Q45">SUM(M23:P23)</f>
        <v>0</v>
      </c>
      <c r="R23" s="1141" t="e">
        <f aca="true" t="shared" si="4" ref="R23:R45">(Q23/L23)*100</f>
        <v>#DIV/0!</v>
      </c>
      <c r="S23" s="1068"/>
      <c r="T23" s="940">
        <v>0</v>
      </c>
      <c r="U23" s="1094">
        <v>0</v>
      </c>
      <c r="V23" s="877"/>
    </row>
    <row r="24" spans="1:22" ht="15.75" thickBot="1">
      <c r="A24" s="930" t="s">
        <v>553</v>
      </c>
      <c r="B24" s="653" t="s">
        <v>552</v>
      </c>
      <c r="C24" s="654">
        <v>0</v>
      </c>
      <c r="D24" s="654">
        <v>1215</v>
      </c>
      <c r="E24" s="558">
        <v>672</v>
      </c>
      <c r="F24" s="1095">
        <v>1145</v>
      </c>
      <c r="G24" s="1095">
        <v>1350</v>
      </c>
      <c r="H24" s="998">
        <v>1190</v>
      </c>
      <c r="I24" s="880">
        <v>1100</v>
      </c>
      <c r="J24" s="880">
        <v>1300</v>
      </c>
      <c r="K24" s="1142">
        <f>K25+K26+K28+K29</f>
        <v>1400</v>
      </c>
      <c r="L24" s="1142">
        <f>L25+L26+L28+L29</f>
        <v>1400</v>
      </c>
      <c r="M24" s="1097">
        <v>1400</v>
      </c>
      <c r="N24" s="1143">
        <f t="shared" si="1"/>
        <v>-698</v>
      </c>
      <c r="O24" s="1001">
        <f t="shared" si="2"/>
        <v>351</v>
      </c>
      <c r="P24" s="934"/>
      <c r="Q24" s="1154">
        <f t="shared" si="3"/>
        <v>1053</v>
      </c>
      <c r="R24" s="1145">
        <f t="shared" si="4"/>
        <v>75.21428571428571</v>
      </c>
      <c r="S24" s="1068"/>
      <c r="T24" s="931">
        <v>702</v>
      </c>
      <c r="U24" s="1099">
        <v>1053</v>
      </c>
      <c r="V24" s="880"/>
    </row>
    <row r="25" spans="1:22" ht="15">
      <c r="A25" s="939" t="s">
        <v>554</v>
      </c>
      <c r="B25" s="862" t="s">
        <v>683</v>
      </c>
      <c r="C25" s="617">
        <v>6341</v>
      </c>
      <c r="D25" s="617">
        <v>6960</v>
      </c>
      <c r="E25" s="554">
        <v>501</v>
      </c>
      <c r="F25" s="1032">
        <v>503</v>
      </c>
      <c r="G25" s="1032">
        <v>881</v>
      </c>
      <c r="H25" s="940">
        <v>732</v>
      </c>
      <c r="I25" s="882">
        <v>548</v>
      </c>
      <c r="J25" s="882">
        <v>746</v>
      </c>
      <c r="K25" s="1100">
        <v>250</v>
      </c>
      <c r="L25" s="1100">
        <v>250</v>
      </c>
      <c r="M25" s="1100">
        <v>120</v>
      </c>
      <c r="N25" s="1139">
        <f t="shared" si="1"/>
        <v>411</v>
      </c>
      <c r="O25" s="983">
        <f t="shared" si="2"/>
        <v>316</v>
      </c>
      <c r="P25" s="1112"/>
      <c r="Q25" s="1172">
        <f t="shared" si="3"/>
        <v>847</v>
      </c>
      <c r="R25" s="1182">
        <f t="shared" si="4"/>
        <v>338.8</v>
      </c>
      <c r="S25" s="1068"/>
      <c r="T25" s="941">
        <v>531</v>
      </c>
      <c r="U25" s="1102">
        <v>847</v>
      </c>
      <c r="V25" s="882"/>
    </row>
    <row r="26" spans="1:22" ht="15">
      <c r="A26" s="949" t="s">
        <v>556</v>
      </c>
      <c r="B26" s="866" t="s">
        <v>684</v>
      </c>
      <c r="C26" s="630">
        <v>1745</v>
      </c>
      <c r="D26" s="630">
        <v>2223</v>
      </c>
      <c r="E26" s="556">
        <v>502</v>
      </c>
      <c r="F26" s="1032">
        <v>357</v>
      </c>
      <c r="G26" s="1032">
        <v>361</v>
      </c>
      <c r="H26" s="940">
        <v>412</v>
      </c>
      <c r="I26" s="877">
        <v>444</v>
      </c>
      <c r="J26" s="877">
        <v>405</v>
      </c>
      <c r="K26" s="991">
        <v>520</v>
      </c>
      <c r="L26" s="991">
        <v>520</v>
      </c>
      <c r="M26" s="991">
        <v>130</v>
      </c>
      <c r="N26" s="1139">
        <f t="shared" si="1"/>
        <v>94</v>
      </c>
      <c r="O26" s="992">
        <f t="shared" si="2"/>
        <v>45</v>
      </c>
      <c r="P26" s="943"/>
      <c r="Q26" s="1152">
        <f t="shared" si="3"/>
        <v>269</v>
      </c>
      <c r="R26" s="1141">
        <f t="shared" si="4"/>
        <v>51.73076923076923</v>
      </c>
      <c r="S26" s="1068"/>
      <c r="T26" s="940">
        <v>224</v>
      </c>
      <c r="U26" s="1094">
        <v>269</v>
      </c>
      <c r="V26" s="877"/>
    </row>
    <row r="27" spans="1:22" ht="15">
      <c r="A27" s="949" t="s">
        <v>558</v>
      </c>
      <c r="B27" s="866" t="s">
        <v>685</v>
      </c>
      <c r="C27" s="630">
        <v>0</v>
      </c>
      <c r="D27" s="630">
        <v>0</v>
      </c>
      <c r="E27" s="556">
        <v>504</v>
      </c>
      <c r="F27" s="1032">
        <v>0</v>
      </c>
      <c r="G27" s="1032">
        <v>0</v>
      </c>
      <c r="H27" s="940">
        <v>0</v>
      </c>
      <c r="I27" s="877">
        <v>0</v>
      </c>
      <c r="J27" s="877">
        <v>0</v>
      </c>
      <c r="K27" s="991"/>
      <c r="L27" s="991"/>
      <c r="M27" s="991">
        <v>0</v>
      </c>
      <c r="N27" s="1139">
        <f t="shared" si="1"/>
        <v>0</v>
      </c>
      <c r="O27" s="992">
        <f t="shared" si="2"/>
        <v>0</v>
      </c>
      <c r="P27" s="1183"/>
      <c r="Q27" s="1184">
        <f t="shared" si="3"/>
        <v>0</v>
      </c>
      <c r="R27" s="1185" t="e">
        <f t="shared" si="4"/>
        <v>#DIV/0!</v>
      </c>
      <c r="S27" s="1068"/>
      <c r="T27" s="940">
        <v>0</v>
      </c>
      <c r="U27" s="1094">
        <v>0</v>
      </c>
      <c r="V27" s="877"/>
    </row>
    <row r="28" spans="1:22" ht="15">
      <c r="A28" s="949" t="s">
        <v>560</v>
      </c>
      <c r="B28" s="866" t="s">
        <v>686</v>
      </c>
      <c r="C28" s="630">
        <v>428</v>
      </c>
      <c r="D28" s="630">
        <v>253</v>
      </c>
      <c r="E28" s="556">
        <v>511</v>
      </c>
      <c r="F28" s="1032">
        <v>307</v>
      </c>
      <c r="G28" s="1032">
        <v>518</v>
      </c>
      <c r="H28" s="940">
        <v>234</v>
      </c>
      <c r="I28" s="877">
        <v>217</v>
      </c>
      <c r="J28" s="877">
        <v>470</v>
      </c>
      <c r="K28" s="991">
        <v>400</v>
      </c>
      <c r="L28" s="991">
        <v>400</v>
      </c>
      <c r="M28" s="991">
        <v>0</v>
      </c>
      <c r="N28" s="1139">
        <f t="shared" si="1"/>
        <v>1</v>
      </c>
      <c r="O28" s="992">
        <f t="shared" si="2"/>
        <v>207</v>
      </c>
      <c r="P28" s="943"/>
      <c r="Q28" s="1152">
        <f t="shared" si="3"/>
        <v>208</v>
      </c>
      <c r="R28" s="1141">
        <f t="shared" si="4"/>
        <v>52</v>
      </c>
      <c r="S28" s="1068"/>
      <c r="T28" s="940">
        <v>1</v>
      </c>
      <c r="U28" s="1094">
        <v>208</v>
      </c>
      <c r="V28" s="877"/>
    </row>
    <row r="29" spans="1:22" ht="15">
      <c r="A29" s="949" t="s">
        <v>562</v>
      </c>
      <c r="B29" s="866" t="s">
        <v>687</v>
      </c>
      <c r="C29" s="630">
        <v>1057</v>
      </c>
      <c r="D29" s="630">
        <v>1451</v>
      </c>
      <c r="E29" s="556">
        <v>518</v>
      </c>
      <c r="F29" s="1032">
        <v>286</v>
      </c>
      <c r="G29" s="1032">
        <v>217</v>
      </c>
      <c r="H29" s="940">
        <v>278</v>
      </c>
      <c r="I29" s="877">
        <v>259</v>
      </c>
      <c r="J29" s="877">
        <v>268</v>
      </c>
      <c r="K29" s="991">
        <v>230</v>
      </c>
      <c r="L29" s="991">
        <v>230</v>
      </c>
      <c r="M29" s="991">
        <v>29</v>
      </c>
      <c r="N29" s="1139">
        <f t="shared" si="1"/>
        <v>97</v>
      </c>
      <c r="O29" s="992">
        <f t="shared" si="2"/>
        <v>68</v>
      </c>
      <c r="P29" s="943"/>
      <c r="Q29" s="1152">
        <f t="shared" si="3"/>
        <v>194</v>
      </c>
      <c r="R29" s="1141">
        <f t="shared" si="4"/>
        <v>84.34782608695653</v>
      </c>
      <c r="S29" s="1068"/>
      <c r="T29" s="940">
        <v>126</v>
      </c>
      <c r="U29" s="1094">
        <v>194</v>
      </c>
      <c r="V29" s="877"/>
    </row>
    <row r="30" spans="1:22" ht="15">
      <c r="A30" s="949" t="s">
        <v>564</v>
      </c>
      <c r="B30" s="884" t="s">
        <v>688</v>
      </c>
      <c r="C30" s="630">
        <v>10408</v>
      </c>
      <c r="D30" s="630">
        <v>11792</v>
      </c>
      <c r="E30" s="556">
        <v>521</v>
      </c>
      <c r="F30" s="1032">
        <v>1901</v>
      </c>
      <c r="G30" s="1032">
        <v>1921</v>
      </c>
      <c r="H30" s="940">
        <v>2177</v>
      </c>
      <c r="I30" s="877">
        <v>2180</v>
      </c>
      <c r="J30" s="877">
        <v>2306</v>
      </c>
      <c r="K30" s="991">
        <v>2226</v>
      </c>
      <c r="L30" s="991">
        <v>2226</v>
      </c>
      <c r="M30" s="991">
        <v>569</v>
      </c>
      <c r="N30" s="1139">
        <f t="shared" si="1"/>
        <v>562</v>
      </c>
      <c r="O30" s="992">
        <f t="shared" si="2"/>
        <v>595</v>
      </c>
      <c r="P30" s="943"/>
      <c r="Q30" s="1152">
        <f t="shared" si="3"/>
        <v>1726</v>
      </c>
      <c r="R30" s="1141">
        <f t="shared" si="4"/>
        <v>77.5381850853549</v>
      </c>
      <c r="S30" s="1068"/>
      <c r="T30" s="940">
        <v>1131</v>
      </c>
      <c r="U30" s="1094">
        <v>1726</v>
      </c>
      <c r="V30" s="877"/>
    </row>
    <row r="31" spans="1:22" ht="15">
      <c r="A31" s="949" t="s">
        <v>566</v>
      </c>
      <c r="B31" s="884" t="s">
        <v>689</v>
      </c>
      <c r="C31" s="630">
        <v>3640</v>
      </c>
      <c r="D31" s="630">
        <v>4174</v>
      </c>
      <c r="E31" s="556" t="s">
        <v>568</v>
      </c>
      <c r="F31" s="1032">
        <v>674</v>
      </c>
      <c r="G31" s="1032">
        <v>689</v>
      </c>
      <c r="H31" s="940">
        <v>772</v>
      </c>
      <c r="I31" s="877">
        <v>770</v>
      </c>
      <c r="J31" s="877">
        <v>805</v>
      </c>
      <c r="K31" s="991">
        <v>779</v>
      </c>
      <c r="L31" s="991">
        <v>779</v>
      </c>
      <c r="M31" s="991">
        <v>201</v>
      </c>
      <c r="N31" s="1139">
        <f t="shared" si="1"/>
        <v>199</v>
      </c>
      <c r="O31" s="992">
        <f t="shared" si="2"/>
        <v>209</v>
      </c>
      <c r="P31" s="943"/>
      <c r="Q31" s="1152">
        <f t="shared" si="3"/>
        <v>609</v>
      </c>
      <c r="R31" s="1141">
        <f t="shared" si="4"/>
        <v>78.17715019255456</v>
      </c>
      <c r="S31" s="1068"/>
      <c r="T31" s="940">
        <v>400</v>
      </c>
      <c r="U31" s="1094">
        <v>609</v>
      </c>
      <c r="V31" s="877"/>
    </row>
    <row r="32" spans="1:22" ht="15">
      <c r="A32" s="949" t="s">
        <v>569</v>
      </c>
      <c r="B32" s="866" t="s">
        <v>690</v>
      </c>
      <c r="C32" s="630">
        <v>0</v>
      </c>
      <c r="D32" s="630">
        <v>0</v>
      </c>
      <c r="E32" s="556">
        <v>557</v>
      </c>
      <c r="F32" s="1032">
        <v>0</v>
      </c>
      <c r="G32" s="1032">
        <v>0</v>
      </c>
      <c r="H32" s="940">
        <v>0</v>
      </c>
      <c r="I32" s="877">
        <v>0</v>
      </c>
      <c r="J32" s="877">
        <v>0</v>
      </c>
      <c r="K32" s="991"/>
      <c r="L32" s="991"/>
      <c r="M32" s="991">
        <v>0</v>
      </c>
      <c r="N32" s="1139">
        <f t="shared" si="1"/>
        <v>0</v>
      </c>
      <c r="O32" s="992">
        <f t="shared" si="2"/>
        <v>0</v>
      </c>
      <c r="P32" s="943"/>
      <c r="Q32" s="1152">
        <f t="shared" si="3"/>
        <v>0</v>
      </c>
      <c r="R32" s="1141" t="e">
        <f t="shared" si="4"/>
        <v>#DIV/0!</v>
      </c>
      <c r="S32" s="1068"/>
      <c r="T32" s="940">
        <v>0</v>
      </c>
      <c r="U32" s="1094">
        <v>0</v>
      </c>
      <c r="V32" s="877"/>
    </row>
    <row r="33" spans="1:22" ht="15">
      <c r="A33" s="949" t="s">
        <v>571</v>
      </c>
      <c r="B33" s="866" t="s">
        <v>691</v>
      </c>
      <c r="C33" s="630">
        <v>1711</v>
      </c>
      <c r="D33" s="630">
        <v>1801</v>
      </c>
      <c r="E33" s="556">
        <v>551</v>
      </c>
      <c r="F33" s="1032">
        <v>16</v>
      </c>
      <c r="G33" s="1032">
        <v>13</v>
      </c>
      <c r="H33" s="940">
        <v>40</v>
      </c>
      <c r="I33" s="877">
        <v>30</v>
      </c>
      <c r="J33" s="877">
        <v>25</v>
      </c>
      <c r="K33" s="991"/>
      <c r="L33" s="991"/>
      <c r="M33" s="991">
        <v>0</v>
      </c>
      <c r="N33" s="1139">
        <f t="shared" si="1"/>
        <v>0</v>
      </c>
      <c r="O33" s="992">
        <f t="shared" si="2"/>
        <v>0</v>
      </c>
      <c r="P33" s="943"/>
      <c r="Q33" s="1152">
        <f t="shared" si="3"/>
        <v>0</v>
      </c>
      <c r="R33" s="1141" t="e">
        <f t="shared" si="4"/>
        <v>#DIV/0!</v>
      </c>
      <c r="S33" s="1068"/>
      <c r="T33" s="940">
        <v>0</v>
      </c>
      <c r="U33" s="1094">
        <v>0</v>
      </c>
      <c r="V33" s="877"/>
    </row>
    <row r="34" spans="1:22" ht="15.75" thickBot="1">
      <c r="A34" s="918" t="s">
        <v>573</v>
      </c>
      <c r="B34" s="868" t="s">
        <v>692</v>
      </c>
      <c r="C34" s="635">
        <v>569</v>
      </c>
      <c r="D34" s="635">
        <v>614</v>
      </c>
      <c r="E34" s="561" t="s">
        <v>574</v>
      </c>
      <c r="F34" s="1033">
        <v>22</v>
      </c>
      <c r="G34" s="1033">
        <v>15</v>
      </c>
      <c r="H34" s="920">
        <v>21</v>
      </c>
      <c r="I34" s="885">
        <v>19</v>
      </c>
      <c r="J34" s="885">
        <v>24</v>
      </c>
      <c r="K34" s="1104">
        <v>38</v>
      </c>
      <c r="L34" s="1104">
        <v>38</v>
      </c>
      <c r="M34" s="1034">
        <v>3</v>
      </c>
      <c r="N34" s="1139">
        <f t="shared" si="1"/>
        <v>5</v>
      </c>
      <c r="O34" s="1001">
        <f t="shared" si="2"/>
        <v>3</v>
      </c>
      <c r="P34" s="934"/>
      <c r="Q34" s="1154">
        <f t="shared" si="3"/>
        <v>11</v>
      </c>
      <c r="R34" s="1145">
        <f t="shared" si="4"/>
        <v>28.947368421052634</v>
      </c>
      <c r="S34" s="1068"/>
      <c r="T34" s="1164">
        <v>8</v>
      </c>
      <c r="U34" s="1106">
        <v>11</v>
      </c>
      <c r="V34" s="885"/>
    </row>
    <row r="35" spans="1:22" ht="15.75" thickBot="1">
      <c r="A35" s="1022" t="s">
        <v>575</v>
      </c>
      <c r="B35" s="871" t="s">
        <v>576</v>
      </c>
      <c r="C35" s="574">
        <f>SUM(C25:C34)</f>
        <v>25899</v>
      </c>
      <c r="D35" s="574">
        <f>SUM(D25:D34)</f>
        <v>29268</v>
      </c>
      <c r="E35" s="693"/>
      <c r="F35" s="1023">
        <f aca="true" t="shared" si="5" ref="F35:O35">SUM(F25:F34)</f>
        <v>4066</v>
      </c>
      <c r="G35" s="1023">
        <f t="shared" si="5"/>
        <v>4615</v>
      </c>
      <c r="H35" s="1023">
        <f t="shared" si="5"/>
        <v>4666</v>
      </c>
      <c r="I35" s="1023">
        <f t="shared" si="5"/>
        <v>4467</v>
      </c>
      <c r="J35" s="1023">
        <f>SUM(J25:J34)</f>
        <v>5049</v>
      </c>
      <c r="K35" s="1107">
        <f t="shared" si="5"/>
        <v>4443</v>
      </c>
      <c r="L35" s="1108">
        <f t="shared" si="5"/>
        <v>4443</v>
      </c>
      <c r="M35" s="1108">
        <f t="shared" si="5"/>
        <v>1052</v>
      </c>
      <c r="N35" s="1026">
        <f t="shared" si="5"/>
        <v>1369</v>
      </c>
      <c r="O35" s="1109">
        <f t="shared" si="5"/>
        <v>1443</v>
      </c>
      <c r="P35" s="1156"/>
      <c r="Q35" s="1157">
        <f t="shared" si="3"/>
        <v>3864</v>
      </c>
      <c r="R35" s="1158">
        <f t="shared" si="4"/>
        <v>86.96826468602296</v>
      </c>
      <c r="S35" s="1068"/>
      <c r="T35" s="1023">
        <f>SUM(T25:T34)</f>
        <v>2421</v>
      </c>
      <c r="U35" s="889">
        <v>3864</v>
      </c>
      <c r="V35" s="1023">
        <v>0</v>
      </c>
    </row>
    <row r="36" spans="1:22" ht="15">
      <c r="A36" s="939" t="s">
        <v>577</v>
      </c>
      <c r="B36" s="862" t="s">
        <v>693</v>
      </c>
      <c r="C36" s="617">
        <v>0</v>
      </c>
      <c r="D36" s="617">
        <v>0</v>
      </c>
      <c r="E36" s="554">
        <v>601</v>
      </c>
      <c r="F36" s="1031">
        <v>0</v>
      </c>
      <c r="G36" s="1031">
        <v>0</v>
      </c>
      <c r="H36" s="941">
        <v>0</v>
      </c>
      <c r="I36" s="882">
        <v>0</v>
      </c>
      <c r="J36" s="882">
        <v>0</v>
      </c>
      <c r="K36" s="1100"/>
      <c r="L36" s="1111"/>
      <c r="M36" s="981">
        <v>0</v>
      </c>
      <c r="N36" s="1139">
        <f t="shared" si="1"/>
        <v>0</v>
      </c>
      <c r="O36" s="983">
        <f t="shared" si="2"/>
        <v>0</v>
      </c>
      <c r="P36" s="1112"/>
      <c r="Q36" s="1150">
        <f t="shared" si="3"/>
        <v>0</v>
      </c>
      <c r="R36" s="1138" t="e">
        <f t="shared" si="4"/>
        <v>#DIV/0!</v>
      </c>
      <c r="S36" s="1068"/>
      <c r="T36" s="941">
        <v>0</v>
      </c>
      <c r="U36" s="1102">
        <v>0</v>
      </c>
      <c r="V36" s="882"/>
    </row>
    <row r="37" spans="1:22" ht="15">
      <c r="A37" s="949" t="s">
        <v>579</v>
      </c>
      <c r="B37" s="866" t="s">
        <v>694</v>
      </c>
      <c r="C37" s="630">
        <v>1190</v>
      </c>
      <c r="D37" s="630">
        <v>1857</v>
      </c>
      <c r="E37" s="556">
        <v>602</v>
      </c>
      <c r="F37" s="1032">
        <v>454</v>
      </c>
      <c r="G37" s="1032">
        <v>476</v>
      </c>
      <c r="H37" s="940">
        <v>626</v>
      </c>
      <c r="I37" s="877">
        <v>616</v>
      </c>
      <c r="J37" s="877">
        <v>634</v>
      </c>
      <c r="K37" s="991"/>
      <c r="L37" s="1092"/>
      <c r="M37" s="991">
        <v>171</v>
      </c>
      <c r="N37" s="1139">
        <f t="shared" si="1"/>
        <v>243</v>
      </c>
      <c r="O37" s="992">
        <f t="shared" si="2"/>
        <v>35</v>
      </c>
      <c r="P37" s="943"/>
      <c r="Q37" s="1152">
        <f t="shared" si="3"/>
        <v>449</v>
      </c>
      <c r="R37" s="1141" t="e">
        <f t="shared" si="4"/>
        <v>#DIV/0!</v>
      </c>
      <c r="S37" s="1068"/>
      <c r="T37" s="940">
        <v>414</v>
      </c>
      <c r="U37" s="1094">
        <v>449</v>
      </c>
      <c r="V37" s="877"/>
    </row>
    <row r="38" spans="1:22" ht="15">
      <c r="A38" s="949" t="s">
        <v>581</v>
      </c>
      <c r="B38" s="866" t="s">
        <v>695</v>
      </c>
      <c r="C38" s="630">
        <v>0</v>
      </c>
      <c r="D38" s="630">
        <v>0</v>
      </c>
      <c r="E38" s="556">
        <v>604</v>
      </c>
      <c r="F38" s="1032">
        <v>0</v>
      </c>
      <c r="G38" s="1032">
        <v>0</v>
      </c>
      <c r="H38" s="940">
        <v>0</v>
      </c>
      <c r="I38" s="877">
        <v>0</v>
      </c>
      <c r="J38" s="877">
        <v>0</v>
      </c>
      <c r="K38" s="991"/>
      <c r="L38" s="1092"/>
      <c r="M38" s="991">
        <v>0</v>
      </c>
      <c r="N38" s="1139">
        <f t="shared" si="1"/>
        <v>0</v>
      </c>
      <c r="O38" s="992">
        <f t="shared" si="2"/>
        <v>0</v>
      </c>
      <c r="P38" s="943"/>
      <c r="Q38" s="1152">
        <f t="shared" si="3"/>
        <v>0</v>
      </c>
      <c r="R38" s="1141" t="e">
        <f t="shared" si="4"/>
        <v>#DIV/0!</v>
      </c>
      <c r="S38" s="1068"/>
      <c r="T38" s="940">
        <v>0</v>
      </c>
      <c r="U38" s="1094">
        <v>0</v>
      </c>
      <c r="V38" s="877"/>
    </row>
    <row r="39" spans="1:22" ht="15">
      <c r="A39" s="949" t="s">
        <v>583</v>
      </c>
      <c r="B39" s="866" t="s">
        <v>696</v>
      </c>
      <c r="C39" s="630">
        <v>12472</v>
      </c>
      <c r="D39" s="630">
        <v>13728</v>
      </c>
      <c r="E39" s="556" t="s">
        <v>585</v>
      </c>
      <c r="F39" s="1032">
        <v>3705</v>
      </c>
      <c r="G39" s="1032">
        <v>3925</v>
      </c>
      <c r="H39" s="940">
        <v>4006</v>
      </c>
      <c r="I39" s="877">
        <v>3942</v>
      </c>
      <c r="J39" s="877">
        <v>4360</v>
      </c>
      <c r="K39" s="991">
        <f>K35</f>
        <v>4443</v>
      </c>
      <c r="L39" s="1092">
        <v>4443</v>
      </c>
      <c r="M39" s="991">
        <v>1122</v>
      </c>
      <c r="N39" s="1139">
        <f t="shared" si="1"/>
        <v>1127</v>
      </c>
      <c r="O39" s="992">
        <f t="shared" si="2"/>
        <v>1129</v>
      </c>
      <c r="P39" s="943"/>
      <c r="Q39" s="1152">
        <f t="shared" si="3"/>
        <v>3378</v>
      </c>
      <c r="R39" s="1141">
        <f t="shared" si="4"/>
        <v>76.02970965563807</v>
      </c>
      <c r="S39" s="1068"/>
      <c r="T39" s="940">
        <v>2249</v>
      </c>
      <c r="U39" s="1094">
        <v>3378</v>
      </c>
      <c r="V39" s="877"/>
    </row>
    <row r="40" spans="1:22" ht="15.75" thickBot="1">
      <c r="A40" s="918" t="s">
        <v>586</v>
      </c>
      <c r="B40" s="868" t="s">
        <v>692</v>
      </c>
      <c r="C40" s="635">
        <v>12330</v>
      </c>
      <c r="D40" s="635">
        <v>13218</v>
      </c>
      <c r="E40" s="561" t="s">
        <v>587</v>
      </c>
      <c r="F40" s="1033">
        <v>100</v>
      </c>
      <c r="G40" s="1033">
        <v>323</v>
      </c>
      <c r="H40" s="920">
        <v>74</v>
      </c>
      <c r="I40" s="885">
        <v>23</v>
      </c>
      <c r="J40" s="885">
        <v>156</v>
      </c>
      <c r="K40" s="1104"/>
      <c r="L40" s="1114"/>
      <c r="M40" s="1034">
        <v>0</v>
      </c>
      <c r="N40" s="1139">
        <f t="shared" si="1"/>
        <v>0</v>
      </c>
      <c r="O40" s="1001">
        <f t="shared" si="2"/>
        <v>25</v>
      </c>
      <c r="P40" s="934"/>
      <c r="Q40" s="1154">
        <f t="shared" si="3"/>
        <v>25</v>
      </c>
      <c r="R40" s="1145" t="e">
        <f t="shared" si="4"/>
        <v>#DIV/0!</v>
      </c>
      <c r="S40" s="1068"/>
      <c r="T40" s="1164">
        <v>0</v>
      </c>
      <c r="U40" s="1106">
        <v>25</v>
      </c>
      <c r="V40" s="885"/>
    </row>
    <row r="41" spans="1:22" ht="15.75" thickBot="1">
      <c r="A41" s="1022" t="s">
        <v>588</v>
      </c>
      <c r="B41" s="871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1023">
        <f aca="true" t="shared" si="6" ref="F41:P41">SUM(F36:F40)</f>
        <v>4259</v>
      </c>
      <c r="G41" s="1023">
        <f t="shared" si="6"/>
        <v>4724</v>
      </c>
      <c r="H41" s="1023">
        <f t="shared" si="6"/>
        <v>4706</v>
      </c>
      <c r="I41" s="1023">
        <f t="shared" si="6"/>
        <v>4581</v>
      </c>
      <c r="J41" s="1023">
        <f>SUM(J36:J40)</f>
        <v>5150</v>
      </c>
      <c r="K41" s="1107">
        <f t="shared" si="6"/>
        <v>4443</v>
      </c>
      <c r="L41" s="1108">
        <f t="shared" si="6"/>
        <v>4443</v>
      </c>
      <c r="M41" s="1108">
        <f t="shared" si="6"/>
        <v>1293</v>
      </c>
      <c r="N41" s="1108">
        <f t="shared" si="6"/>
        <v>1370</v>
      </c>
      <c r="O41" s="1028">
        <f t="shared" si="6"/>
        <v>1189</v>
      </c>
      <c r="P41" s="1174">
        <f t="shared" si="6"/>
        <v>0</v>
      </c>
      <c r="Q41" s="1159">
        <f t="shared" si="3"/>
        <v>3852</v>
      </c>
      <c r="R41" s="1158">
        <f t="shared" si="4"/>
        <v>86.69817690749494</v>
      </c>
      <c r="S41" s="1068"/>
      <c r="T41" s="1023">
        <f>SUM(T36:T40)</f>
        <v>2663</v>
      </c>
      <c r="U41" s="889">
        <v>3852</v>
      </c>
      <c r="V41" s="1023">
        <v>0</v>
      </c>
    </row>
    <row r="42" spans="1:22" ht="6.75" customHeight="1" thickBot="1">
      <c r="A42" s="918"/>
      <c r="B42" s="551"/>
      <c r="C42" s="706"/>
      <c r="D42" s="706"/>
      <c r="E42" s="570"/>
      <c r="F42" s="1033"/>
      <c r="G42" s="1033"/>
      <c r="H42" s="1033"/>
      <c r="I42" s="889"/>
      <c r="J42" s="889"/>
      <c r="K42" s="1117"/>
      <c r="L42" s="1118"/>
      <c r="M42" s="1033"/>
      <c r="N42" s="1139"/>
      <c r="O42" s="924"/>
      <c r="P42" s="1039"/>
      <c r="Q42" s="1161"/>
      <c r="R42" s="1160"/>
      <c r="S42" s="1068"/>
      <c r="T42" s="1033"/>
      <c r="U42" s="889"/>
      <c r="V42" s="889"/>
    </row>
    <row r="43" spans="1:22" ht="15.75" thickBot="1">
      <c r="A43" s="1041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1023">
        <f aca="true" t="shared" si="7" ref="F43:P43">F41-F39</f>
        <v>554</v>
      </c>
      <c r="G43" s="1023">
        <f t="shared" si="7"/>
        <v>799</v>
      </c>
      <c r="H43" s="1023">
        <f t="shared" si="7"/>
        <v>700</v>
      </c>
      <c r="I43" s="1023">
        <f t="shared" si="7"/>
        <v>639</v>
      </c>
      <c r="J43" s="1023">
        <f>J41-J39</f>
        <v>790</v>
      </c>
      <c r="K43" s="1023">
        <f>K41-K39</f>
        <v>0</v>
      </c>
      <c r="L43" s="1030">
        <f t="shared" si="7"/>
        <v>0</v>
      </c>
      <c r="M43" s="1030">
        <f t="shared" si="7"/>
        <v>171</v>
      </c>
      <c r="N43" s="1030">
        <f t="shared" si="7"/>
        <v>243</v>
      </c>
      <c r="O43" s="1023">
        <f t="shared" si="7"/>
        <v>60</v>
      </c>
      <c r="P43" s="889">
        <f t="shared" si="7"/>
        <v>0</v>
      </c>
      <c r="Q43" s="1161">
        <f t="shared" si="3"/>
        <v>474</v>
      </c>
      <c r="R43" s="1116" t="e">
        <f t="shared" si="4"/>
        <v>#DIV/0!</v>
      </c>
      <c r="S43" s="1068"/>
      <c r="T43" s="1023">
        <f>T41-T39</f>
        <v>414</v>
      </c>
      <c r="U43" s="1023">
        <f>U41-U39</f>
        <v>474</v>
      </c>
      <c r="V43" s="1023">
        <f>V41-V39</f>
        <v>0</v>
      </c>
    </row>
    <row r="44" spans="1:22" ht="15.75" thickBot="1">
      <c r="A44" s="1022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1023">
        <f aca="true" t="shared" si="8" ref="F44:P44">F41-F35</f>
        <v>193</v>
      </c>
      <c r="G44" s="1023">
        <f t="shared" si="8"/>
        <v>109</v>
      </c>
      <c r="H44" s="1023">
        <f t="shared" si="8"/>
        <v>40</v>
      </c>
      <c r="I44" s="1023">
        <f t="shared" si="8"/>
        <v>114</v>
      </c>
      <c r="J44" s="1023">
        <f>J41-J35</f>
        <v>101</v>
      </c>
      <c r="K44" s="1023">
        <f>K41-K35</f>
        <v>0</v>
      </c>
      <c r="L44" s="1030">
        <f t="shared" si="8"/>
        <v>0</v>
      </c>
      <c r="M44" s="1030">
        <f t="shared" si="8"/>
        <v>241</v>
      </c>
      <c r="N44" s="1030">
        <f t="shared" si="8"/>
        <v>1</v>
      </c>
      <c r="O44" s="1023">
        <f t="shared" si="8"/>
        <v>-254</v>
      </c>
      <c r="P44" s="889">
        <f t="shared" si="8"/>
        <v>0</v>
      </c>
      <c r="Q44" s="1161">
        <f t="shared" si="3"/>
        <v>-12</v>
      </c>
      <c r="R44" s="1116" t="e">
        <f t="shared" si="4"/>
        <v>#DIV/0!</v>
      </c>
      <c r="S44" s="1068"/>
      <c r="T44" s="1023">
        <f>T41-T35</f>
        <v>242</v>
      </c>
      <c r="U44" s="1023">
        <f>U41-U35</f>
        <v>-12</v>
      </c>
      <c r="V44" s="1023">
        <f>V41-V35</f>
        <v>0</v>
      </c>
    </row>
    <row r="45" spans="1:22" ht="15.75" thickBot="1">
      <c r="A45" s="1045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1023">
        <f aca="true" t="shared" si="9" ref="F45:P45">F44-F39</f>
        <v>-3512</v>
      </c>
      <c r="G45" s="1023">
        <f t="shared" si="9"/>
        <v>-3816</v>
      </c>
      <c r="H45" s="1023">
        <f t="shared" si="9"/>
        <v>-3966</v>
      </c>
      <c r="I45" s="1023">
        <f t="shared" si="9"/>
        <v>-3828</v>
      </c>
      <c r="J45" s="1023">
        <f>J44-J39</f>
        <v>-4259</v>
      </c>
      <c r="K45" s="1023">
        <f t="shared" si="9"/>
        <v>-4443</v>
      </c>
      <c r="L45" s="1030">
        <f t="shared" si="9"/>
        <v>-4443</v>
      </c>
      <c r="M45" s="1030">
        <f t="shared" si="9"/>
        <v>-881</v>
      </c>
      <c r="N45" s="1035">
        <f t="shared" si="9"/>
        <v>-1126</v>
      </c>
      <c r="O45" s="1023">
        <f t="shared" si="9"/>
        <v>-1383</v>
      </c>
      <c r="P45" s="889">
        <f t="shared" si="9"/>
        <v>0</v>
      </c>
      <c r="Q45" s="1161">
        <f t="shared" si="3"/>
        <v>-3390</v>
      </c>
      <c r="R45" s="1030">
        <f t="shared" si="4"/>
        <v>76.29979743416611</v>
      </c>
      <c r="S45" s="1068"/>
      <c r="T45" s="1023">
        <f>T44-T39</f>
        <v>-2007</v>
      </c>
      <c r="U45" s="1023">
        <f>U44-U39</f>
        <v>-3390</v>
      </c>
      <c r="V45" s="1023">
        <f>V44-V39</f>
        <v>0</v>
      </c>
    </row>
    <row r="46" ht="12.75">
      <c r="A46" s="1053"/>
    </row>
    <row r="47" ht="12.75">
      <c r="A47" s="1053"/>
    </row>
    <row r="48" spans="1:22" ht="14.25">
      <c r="A48" s="893" t="s">
        <v>697</v>
      </c>
      <c r="Q48" s="108"/>
      <c r="R48" s="108"/>
      <c r="S48" s="108"/>
      <c r="T48" s="108"/>
      <c r="U48" s="108"/>
      <c r="V48" s="108"/>
    </row>
    <row r="49" spans="1:22" ht="14.25">
      <c r="A49" s="894" t="s">
        <v>698</v>
      </c>
      <c r="Q49" s="108"/>
      <c r="R49" s="108"/>
      <c r="S49" s="108"/>
      <c r="T49" s="108"/>
      <c r="U49" s="108"/>
      <c r="V49" s="108"/>
    </row>
    <row r="50" spans="1:22" ht="14.25">
      <c r="A50" s="1047" t="s">
        <v>699</v>
      </c>
      <c r="Q50" s="108"/>
      <c r="R50" s="108"/>
      <c r="S50" s="108"/>
      <c r="T50" s="108"/>
      <c r="U50" s="108"/>
      <c r="V50" s="108"/>
    </row>
    <row r="51" spans="1:22" ht="14.25">
      <c r="A51" s="1048"/>
      <c r="Q51" s="108"/>
      <c r="R51" s="108"/>
      <c r="S51" s="108"/>
      <c r="T51" s="108"/>
      <c r="U51" s="108"/>
      <c r="V51" s="108"/>
    </row>
    <row r="52" spans="1:22" ht="12.75">
      <c r="A52" s="1053" t="s">
        <v>707</v>
      </c>
      <c r="Q52" s="108"/>
      <c r="R52" s="108"/>
      <c r="S52" s="108"/>
      <c r="T52" s="108"/>
      <c r="U52" s="108"/>
      <c r="V52" s="108"/>
    </row>
    <row r="53" spans="1:22" ht="12.75">
      <c r="A53" s="1053"/>
      <c r="Q53" s="108"/>
      <c r="R53" s="108"/>
      <c r="S53" s="108"/>
      <c r="T53" s="108"/>
      <c r="U53" s="108"/>
      <c r="V53" s="108"/>
    </row>
    <row r="54" spans="1:22" ht="12.75">
      <c r="A54" s="1053" t="s">
        <v>715</v>
      </c>
      <c r="Q54" s="108"/>
      <c r="R54" s="108"/>
      <c r="S54" s="108"/>
      <c r="T54" s="108"/>
      <c r="U54" s="108"/>
      <c r="V54" s="108"/>
    </row>
    <row r="55" ht="12.75">
      <c r="A55" s="1053" t="s">
        <v>716</v>
      </c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9.140625" style="576" customWidth="1"/>
    <col min="6" max="8" width="0" style="108" hidden="1" customWidth="1"/>
    <col min="9" max="10" width="0" style="496" hidden="1" customWidth="1"/>
    <col min="11" max="11" width="11.57421875" style="496" customWidth="1"/>
    <col min="12" max="12" width="11.421875" style="496" customWidth="1"/>
    <col min="13" max="13" width="9.8515625" style="496" customWidth="1"/>
    <col min="14" max="14" width="9.140625" style="496" customWidth="1"/>
    <col min="15" max="15" width="9.28125" style="496" customWidth="1"/>
    <col min="16" max="16" width="9.140625" style="496" customWidth="1"/>
    <col min="17" max="17" width="12.00390625" style="496" customWidth="1"/>
    <col min="18" max="18" width="9.140625" style="478" customWidth="1"/>
    <col min="19" max="19" width="3.421875" style="496" customWidth="1"/>
    <col min="20" max="20" width="12.57421875" style="496" customWidth="1"/>
    <col min="21" max="21" width="11.8515625" style="496" customWidth="1"/>
    <col min="22" max="22" width="12.00390625" style="496" customWidth="1"/>
    <col min="23" max="16384" width="9.140625" style="108" customWidth="1"/>
  </cols>
  <sheetData>
    <row r="1" spans="1:22" ht="18">
      <c r="A1" s="1186" t="s">
        <v>665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902"/>
      <c r="L3" s="897"/>
      <c r="M3" s="897"/>
    </row>
    <row r="4" spans="1:13" ht="13.5" thickBot="1">
      <c r="A4" s="1053"/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898" t="s">
        <v>709</v>
      </c>
      <c r="B5" s="899" t="s">
        <v>717</v>
      </c>
      <c r="C5" s="1187"/>
      <c r="D5" s="1187"/>
      <c r="E5" s="1188"/>
      <c r="F5" s="1187"/>
      <c r="G5" s="1189"/>
      <c r="H5" s="1187"/>
      <c r="I5" s="1190"/>
      <c r="J5" s="1191"/>
      <c r="K5" s="855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1054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4" t="s">
        <v>667</v>
      </c>
      <c r="I7" s="1128" t="s">
        <v>668</v>
      </c>
      <c r="J7" s="1128" t="s">
        <v>669</v>
      </c>
      <c r="K7" s="1055" t="s">
        <v>670</v>
      </c>
      <c r="L7" s="1055"/>
      <c r="M7" s="1055" t="s">
        <v>495</v>
      </c>
      <c r="N7" s="1055"/>
      <c r="O7" s="1055"/>
      <c r="P7" s="1055"/>
      <c r="Q7" s="1176" t="s">
        <v>671</v>
      </c>
      <c r="R7" s="1057" t="s">
        <v>497</v>
      </c>
      <c r="T7" s="907" t="s">
        <v>672</v>
      </c>
      <c r="U7" s="907"/>
      <c r="V7" s="907"/>
    </row>
    <row r="8" spans="1:22" ht="13.5" thickBot="1">
      <c r="A8" s="1054"/>
      <c r="B8" s="904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4"/>
      <c r="I8" s="1128"/>
      <c r="J8" s="1128"/>
      <c r="K8" s="912" t="s">
        <v>31</v>
      </c>
      <c r="L8" s="912" t="s">
        <v>32</v>
      </c>
      <c r="M8" s="913" t="s">
        <v>508</v>
      </c>
      <c r="N8" s="1058" t="s">
        <v>511</v>
      </c>
      <c r="O8" s="914" t="s">
        <v>514</v>
      </c>
      <c r="P8" s="915" t="s">
        <v>517</v>
      </c>
      <c r="Q8" s="912" t="s">
        <v>518</v>
      </c>
      <c r="R8" s="1059" t="s">
        <v>519</v>
      </c>
      <c r="T8" s="1060" t="s">
        <v>676</v>
      </c>
      <c r="U8" s="1061" t="s">
        <v>677</v>
      </c>
      <c r="V8" s="1061" t="s">
        <v>678</v>
      </c>
    </row>
    <row r="9" spans="1:22" ht="12.75">
      <c r="A9" s="918" t="s">
        <v>520</v>
      </c>
      <c r="B9" s="599"/>
      <c r="C9" s="600">
        <v>104</v>
      </c>
      <c r="D9" s="600">
        <v>104</v>
      </c>
      <c r="E9" s="546"/>
      <c r="F9" s="1062">
        <v>6</v>
      </c>
      <c r="G9" s="1062">
        <v>6</v>
      </c>
      <c r="H9" s="1062">
        <v>9</v>
      </c>
      <c r="I9" s="929">
        <v>10</v>
      </c>
      <c r="J9" s="929">
        <v>10</v>
      </c>
      <c r="K9" s="946"/>
      <c r="L9" s="946"/>
      <c r="M9" s="1063">
        <v>10</v>
      </c>
      <c r="N9" s="944">
        <f>T9</f>
        <v>10</v>
      </c>
      <c r="O9" s="1129">
        <f>U9</f>
        <v>10</v>
      </c>
      <c r="P9" s="1065"/>
      <c r="Q9" s="1066" t="s">
        <v>521</v>
      </c>
      <c r="R9" s="1067" t="s">
        <v>521</v>
      </c>
      <c r="S9" s="1068"/>
      <c r="T9" s="979">
        <v>10</v>
      </c>
      <c r="U9" s="928">
        <v>10</v>
      </c>
      <c r="V9" s="929"/>
    </row>
    <row r="10" spans="1:22" ht="13.5" thickBot="1">
      <c r="A10" s="930" t="s">
        <v>522</v>
      </c>
      <c r="B10" s="606"/>
      <c r="C10" s="607">
        <v>101</v>
      </c>
      <c r="D10" s="607">
        <v>104</v>
      </c>
      <c r="E10" s="608"/>
      <c r="F10" s="1070">
        <v>6.2</v>
      </c>
      <c r="G10" s="1070">
        <v>6</v>
      </c>
      <c r="H10" s="1070">
        <v>9</v>
      </c>
      <c r="I10" s="936">
        <v>9</v>
      </c>
      <c r="J10" s="936">
        <v>9</v>
      </c>
      <c r="K10" s="933"/>
      <c r="L10" s="933"/>
      <c r="M10" s="861">
        <v>9</v>
      </c>
      <c r="N10" s="955">
        <f aca="true" t="shared" si="0" ref="N10:O21">T10</f>
        <v>9</v>
      </c>
      <c r="O10" s="1130">
        <f t="shared" si="0"/>
        <v>9</v>
      </c>
      <c r="P10" s="956"/>
      <c r="Q10" s="933" t="s">
        <v>521</v>
      </c>
      <c r="R10" s="1072" t="s">
        <v>521</v>
      </c>
      <c r="S10" s="1068"/>
      <c r="T10" s="1164">
        <v>9</v>
      </c>
      <c r="U10" s="938">
        <v>9</v>
      </c>
      <c r="V10" s="936"/>
    </row>
    <row r="11" spans="1:22" ht="12.75">
      <c r="A11" s="939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1032">
        <v>1168</v>
      </c>
      <c r="G11" s="1032">
        <v>1177</v>
      </c>
      <c r="H11" s="1032">
        <v>1361</v>
      </c>
      <c r="I11" s="947">
        <v>1504</v>
      </c>
      <c r="J11" s="947">
        <v>1655</v>
      </c>
      <c r="K11" s="945" t="s">
        <v>521</v>
      </c>
      <c r="L11" s="945" t="s">
        <v>521</v>
      </c>
      <c r="M11" s="865">
        <v>1655</v>
      </c>
      <c r="N11" s="1009">
        <f t="shared" si="0"/>
        <v>1665</v>
      </c>
      <c r="O11" s="944">
        <f t="shared" si="0"/>
        <v>1655</v>
      </c>
      <c r="P11" s="984"/>
      <c r="Q11" s="948" t="s">
        <v>521</v>
      </c>
      <c r="R11" s="1075" t="s">
        <v>521</v>
      </c>
      <c r="S11" s="1068"/>
      <c r="T11" s="979">
        <v>1665</v>
      </c>
      <c r="U11" s="947">
        <v>1655</v>
      </c>
      <c r="V11" s="948"/>
    </row>
    <row r="12" spans="1:22" ht="12.75">
      <c r="A12" s="949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1032">
        <v>-1168</v>
      </c>
      <c r="G12" s="1032">
        <v>-1177</v>
      </c>
      <c r="H12" s="1032">
        <v>1361</v>
      </c>
      <c r="I12" s="947">
        <v>1504</v>
      </c>
      <c r="J12" s="947">
        <v>1655</v>
      </c>
      <c r="K12" s="952" t="s">
        <v>521</v>
      </c>
      <c r="L12" s="952" t="s">
        <v>521</v>
      </c>
      <c r="M12" s="867">
        <v>1655</v>
      </c>
      <c r="N12" s="1014">
        <f t="shared" si="0"/>
        <v>1665</v>
      </c>
      <c r="O12" s="951">
        <f t="shared" si="0"/>
        <v>1655</v>
      </c>
      <c r="P12" s="993"/>
      <c r="Q12" s="948" t="s">
        <v>521</v>
      </c>
      <c r="R12" s="1075" t="s">
        <v>521</v>
      </c>
      <c r="S12" s="1068"/>
      <c r="T12" s="940">
        <v>1665</v>
      </c>
      <c r="U12" s="947">
        <v>1655</v>
      </c>
      <c r="V12" s="948"/>
    </row>
    <row r="13" spans="1:22" ht="12.75">
      <c r="A13" s="949" t="s">
        <v>529</v>
      </c>
      <c r="B13" s="629" t="s">
        <v>679</v>
      </c>
      <c r="C13" s="630">
        <v>604</v>
      </c>
      <c r="D13" s="630">
        <v>619</v>
      </c>
      <c r="E13" s="618" t="s">
        <v>531</v>
      </c>
      <c r="F13" s="1032"/>
      <c r="G13" s="1032">
        <v>0</v>
      </c>
      <c r="H13" s="1032">
        <v>0</v>
      </c>
      <c r="I13" s="947">
        <v>0</v>
      </c>
      <c r="J13" s="947">
        <v>0</v>
      </c>
      <c r="K13" s="952" t="s">
        <v>521</v>
      </c>
      <c r="L13" s="952" t="s">
        <v>521</v>
      </c>
      <c r="M13" s="867">
        <v>0</v>
      </c>
      <c r="N13" s="1014">
        <f t="shared" si="0"/>
        <v>0</v>
      </c>
      <c r="O13" s="951">
        <f t="shared" si="0"/>
        <v>0</v>
      </c>
      <c r="P13" s="993"/>
      <c r="Q13" s="948" t="s">
        <v>521</v>
      </c>
      <c r="R13" s="1075" t="s">
        <v>521</v>
      </c>
      <c r="S13" s="1068"/>
      <c r="T13" s="940">
        <v>0</v>
      </c>
      <c r="U13" s="947">
        <v>0</v>
      </c>
      <c r="V13" s="948"/>
    </row>
    <row r="14" spans="1:22" ht="12.75">
      <c r="A14" s="949" t="s">
        <v>532</v>
      </c>
      <c r="B14" s="629" t="s">
        <v>680</v>
      </c>
      <c r="C14" s="630">
        <v>221</v>
      </c>
      <c r="D14" s="630">
        <v>610</v>
      </c>
      <c r="E14" s="618" t="s">
        <v>521</v>
      </c>
      <c r="F14" s="1032">
        <v>186</v>
      </c>
      <c r="G14" s="1032">
        <v>261</v>
      </c>
      <c r="H14" s="1032">
        <v>217</v>
      </c>
      <c r="I14" s="947">
        <v>97</v>
      </c>
      <c r="J14" s="947">
        <v>493</v>
      </c>
      <c r="K14" s="952" t="s">
        <v>521</v>
      </c>
      <c r="L14" s="952" t="s">
        <v>521</v>
      </c>
      <c r="M14" s="867">
        <v>1205</v>
      </c>
      <c r="N14" s="1014">
        <f t="shared" si="0"/>
        <v>1041</v>
      </c>
      <c r="O14" s="951">
        <f t="shared" si="0"/>
        <v>676</v>
      </c>
      <c r="P14" s="993"/>
      <c r="Q14" s="948" t="s">
        <v>521</v>
      </c>
      <c r="R14" s="1075" t="s">
        <v>521</v>
      </c>
      <c r="S14" s="1068"/>
      <c r="T14" s="940">
        <v>1041</v>
      </c>
      <c r="U14" s="947">
        <v>676</v>
      </c>
      <c r="V14" s="948"/>
    </row>
    <row r="15" spans="1:22" ht="13.5" thickBot="1">
      <c r="A15" s="918" t="s">
        <v>534</v>
      </c>
      <c r="B15" s="634" t="s">
        <v>681</v>
      </c>
      <c r="C15" s="635">
        <v>2021</v>
      </c>
      <c r="D15" s="635">
        <v>852</v>
      </c>
      <c r="E15" s="550" t="s">
        <v>536</v>
      </c>
      <c r="F15" s="1033">
        <v>313</v>
      </c>
      <c r="G15" s="1033">
        <v>436</v>
      </c>
      <c r="H15" s="1033">
        <v>425</v>
      </c>
      <c r="I15" s="959">
        <v>667</v>
      </c>
      <c r="J15" s="959">
        <v>290</v>
      </c>
      <c r="K15" s="957" t="s">
        <v>521</v>
      </c>
      <c r="L15" s="957" t="s">
        <v>521</v>
      </c>
      <c r="M15" s="858">
        <v>813</v>
      </c>
      <c r="N15" s="1018">
        <f t="shared" si="0"/>
        <v>1204</v>
      </c>
      <c r="O15" s="955">
        <f t="shared" si="0"/>
        <v>1037</v>
      </c>
      <c r="P15" s="1002"/>
      <c r="Q15" s="960" t="s">
        <v>521</v>
      </c>
      <c r="R15" s="1067" t="s">
        <v>521</v>
      </c>
      <c r="S15" s="1068"/>
      <c r="T15" s="931">
        <v>1204</v>
      </c>
      <c r="U15" s="959">
        <v>1037</v>
      </c>
      <c r="V15" s="960"/>
    </row>
    <row r="16" spans="1:22" ht="15.75" thickBot="1">
      <c r="A16" s="961" t="s">
        <v>537</v>
      </c>
      <c r="B16" s="641"/>
      <c r="C16" s="642">
        <v>24618</v>
      </c>
      <c r="D16" s="642">
        <v>24087</v>
      </c>
      <c r="E16" s="643"/>
      <c r="F16" s="1023">
        <v>515</v>
      </c>
      <c r="G16" s="1023">
        <v>698</v>
      </c>
      <c r="H16" s="1023">
        <f>H11-H12+H14+H15</f>
        <v>642</v>
      </c>
      <c r="I16" s="1023">
        <f>I11-I12+I14+I15</f>
        <v>764</v>
      </c>
      <c r="J16" s="967">
        <f>J11-J12+J13+J14+J15</f>
        <v>783</v>
      </c>
      <c r="K16" s="967" t="s">
        <v>521</v>
      </c>
      <c r="L16" s="967" t="s">
        <v>521</v>
      </c>
      <c r="M16" s="1178">
        <f>M11-M12+M13+M14+M15</f>
        <v>2018</v>
      </c>
      <c r="N16" s="1084">
        <f>N11-N12+N13+N14+N15</f>
        <v>2245</v>
      </c>
      <c r="O16" s="1084">
        <f>O11-O12+O13+O14+O15</f>
        <v>1713</v>
      </c>
      <c r="P16" s="1082"/>
      <c r="Q16" s="969" t="s">
        <v>521</v>
      </c>
      <c r="R16" s="1083" t="s">
        <v>521</v>
      </c>
      <c r="S16" s="1068"/>
      <c r="T16" s="1084">
        <f>T11-T12+T13+T14+T15</f>
        <v>2245</v>
      </c>
      <c r="U16" s="1084">
        <f>U11-U12+U13+U14+U15</f>
        <v>1713</v>
      </c>
      <c r="V16" s="1084">
        <v>0</v>
      </c>
    </row>
    <row r="17" spans="1:22" ht="12.75">
      <c r="A17" s="91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1033"/>
      <c r="G17" s="1033">
        <v>0</v>
      </c>
      <c r="H17" s="1033">
        <v>0</v>
      </c>
      <c r="I17" s="959">
        <v>0</v>
      </c>
      <c r="J17" s="959">
        <v>0</v>
      </c>
      <c r="K17" s="945" t="s">
        <v>521</v>
      </c>
      <c r="L17" s="945" t="s">
        <v>521</v>
      </c>
      <c r="M17" s="858">
        <v>0</v>
      </c>
      <c r="N17" s="951">
        <f t="shared" si="0"/>
        <v>0</v>
      </c>
      <c r="O17" s="943">
        <f>U17</f>
        <v>0</v>
      </c>
      <c r="P17" s="944"/>
      <c r="Q17" s="960" t="s">
        <v>521</v>
      </c>
      <c r="R17" s="1067" t="s">
        <v>521</v>
      </c>
      <c r="S17" s="1068"/>
      <c r="T17" s="941">
        <v>0</v>
      </c>
      <c r="U17" s="959">
        <v>0</v>
      </c>
      <c r="V17" s="959"/>
    </row>
    <row r="18" spans="1:22" ht="12.75">
      <c r="A18" s="949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1032">
        <v>101</v>
      </c>
      <c r="G18" s="1032">
        <v>120</v>
      </c>
      <c r="H18" s="1032">
        <v>226</v>
      </c>
      <c r="I18" s="947">
        <v>189</v>
      </c>
      <c r="J18" s="947">
        <v>103</v>
      </c>
      <c r="K18" s="864" t="s">
        <v>521</v>
      </c>
      <c r="L18" s="864" t="s">
        <v>521</v>
      </c>
      <c r="M18" s="867">
        <v>106</v>
      </c>
      <c r="N18" s="951">
        <f t="shared" si="0"/>
        <v>124</v>
      </c>
      <c r="O18" s="943">
        <f>U18</f>
        <v>126</v>
      </c>
      <c r="P18" s="951"/>
      <c r="Q18" s="948" t="s">
        <v>521</v>
      </c>
      <c r="R18" s="1075" t="s">
        <v>521</v>
      </c>
      <c r="S18" s="1068"/>
      <c r="T18" s="940">
        <v>124</v>
      </c>
      <c r="U18" s="947">
        <v>126</v>
      </c>
      <c r="V18" s="947"/>
    </row>
    <row r="19" spans="1:22" ht="12.75">
      <c r="A19" s="949" t="s">
        <v>543</v>
      </c>
      <c r="B19" s="629" t="s">
        <v>682</v>
      </c>
      <c r="C19" s="630">
        <v>14718</v>
      </c>
      <c r="D19" s="630">
        <v>14718</v>
      </c>
      <c r="E19" s="618" t="s">
        <v>521</v>
      </c>
      <c r="F19" s="1032"/>
      <c r="G19" s="1032">
        <v>0</v>
      </c>
      <c r="H19" s="1032">
        <v>0</v>
      </c>
      <c r="I19" s="947">
        <v>0</v>
      </c>
      <c r="J19" s="947">
        <v>0</v>
      </c>
      <c r="K19" s="864" t="s">
        <v>521</v>
      </c>
      <c r="L19" s="864" t="s">
        <v>521</v>
      </c>
      <c r="M19" s="867">
        <v>0</v>
      </c>
      <c r="N19" s="951">
        <f t="shared" si="0"/>
        <v>0</v>
      </c>
      <c r="O19" s="943">
        <f>U19</f>
        <v>0</v>
      </c>
      <c r="P19" s="951"/>
      <c r="Q19" s="948" t="s">
        <v>521</v>
      </c>
      <c r="R19" s="1075" t="s">
        <v>521</v>
      </c>
      <c r="S19" s="1068"/>
      <c r="T19" s="940">
        <v>0</v>
      </c>
      <c r="U19" s="947">
        <v>0</v>
      </c>
      <c r="V19" s="947"/>
    </row>
    <row r="20" spans="1:22" ht="12.75">
      <c r="A20" s="949" t="s">
        <v>545</v>
      </c>
      <c r="B20" s="629" t="s">
        <v>544</v>
      </c>
      <c r="C20" s="630">
        <v>1758</v>
      </c>
      <c r="D20" s="630">
        <v>1762</v>
      </c>
      <c r="E20" s="618" t="s">
        <v>521</v>
      </c>
      <c r="F20" s="1032">
        <v>162</v>
      </c>
      <c r="G20" s="1032">
        <v>241</v>
      </c>
      <c r="H20" s="1032">
        <v>416</v>
      </c>
      <c r="I20" s="947">
        <v>435</v>
      </c>
      <c r="J20" s="947">
        <v>656</v>
      </c>
      <c r="K20" s="864" t="s">
        <v>521</v>
      </c>
      <c r="L20" s="864" t="s">
        <v>521</v>
      </c>
      <c r="M20" s="867">
        <v>1701</v>
      </c>
      <c r="N20" s="951">
        <f t="shared" si="0"/>
        <v>1741</v>
      </c>
      <c r="O20" s="943">
        <f>U20</f>
        <v>1194</v>
      </c>
      <c r="P20" s="951"/>
      <c r="Q20" s="948" t="s">
        <v>521</v>
      </c>
      <c r="R20" s="1075" t="s">
        <v>521</v>
      </c>
      <c r="S20" s="1068"/>
      <c r="T20" s="940">
        <v>1741</v>
      </c>
      <c r="U20" s="947">
        <v>1194</v>
      </c>
      <c r="V20" s="947"/>
    </row>
    <row r="21" spans="1:22" ht="13.5" thickBot="1">
      <c r="A21" s="930" t="s">
        <v>547</v>
      </c>
      <c r="B21" s="653"/>
      <c r="C21" s="654">
        <v>0</v>
      </c>
      <c r="D21" s="654">
        <v>0</v>
      </c>
      <c r="E21" s="655" t="s">
        <v>521</v>
      </c>
      <c r="F21" s="1032"/>
      <c r="G21" s="1032">
        <v>0</v>
      </c>
      <c r="H21" s="1032">
        <v>0</v>
      </c>
      <c r="I21" s="1052">
        <v>0</v>
      </c>
      <c r="J21" s="1052">
        <v>0</v>
      </c>
      <c r="K21" s="860" t="s">
        <v>521</v>
      </c>
      <c r="L21" s="860" t="s">
        <v>521</v>
      </c>
      <c r="M21" s="873">
        <v>0</v>
      </c>
      <c r="N21" s="955">
        <f t="shared" si="0"/>
        <v>0</v>
      </c>
      <c r="O21" s="956">
        <f>U21</f>
        <v>0</v>
      </c>
      <c r="P21" s="955"/>
      <c r="Q21" s="977" t="s">
        <v>521</v>
      </c>
      <c r="R21" s="1087" t="s">
        <v>521</v>
      </c>
      <c r="S21" s="1068"/>
      <c r="T21" s="1164">
        <v>0</v>
      </c>
      <c r="U21" s="1052">
        <v>0</v>
      </c>
      <c r="V21" s="1052"/>
    </row>
    <row r="22" spans="1:22" ht="15">
      <c r="A22" s="97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1069">
        <v>2886</v>
      </c>
      <c r="G22" s="1069">
        <v>3036</v>
      </c>
      <c r="H22" s="1069">
        <v>3517</v>
      </c>
      <c r="I22" s="875">
        <v>3654</v>
      </c>
      <c r="J22" s="875">
        <v>4308</v>
      </c>
      <c r="K22" s="1100">
        <f>K35</f>
        <v>4333</v>
      </c>
      <c r="L22" s="1100">
        <f>L35</f>
        <v>4226</v>
      </c>
      <c r="M22" s="980">
        <v>1300</v>
      </c>
      <c r="N22" s="1009">
        <f>T22-M22</f>
        <v>895</v>
      </c>
      <c r="O22" s="983">
        <f>U22-T22</f>
        <v>1014</v>
      </c>
      <c r="P22" s="1112"/>
      <c r="Q22" s="1150">
        <f>SUM(M22:P22)</f>
        <v>3209</v>
      </c>
      <c r="R22" s="1138">
        <f>(Q22/L22)*100</f>
        <v>75.93469001419783</v>
      </c>
      <c r="S22" s="1068"/>
      <c r="T22" s="979">
        <v>2195</v>
      </c>
      <c r="U22" s="1090">
        <v>3209</v>
      </c>
      <c r="V22" s="875"/>
    </row>
    <row r="23" spans="1:22" ht="15">
      <c r="A23" s="949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1032"/>
      <c r="G23" s="1032">
        <v>0</v>
      </c>
      <c r="H23" s="1032">
        <v>0</v>
      </c>
      <c r="I23" s="877">
        <v>0</v>
      </c>
      <c r="J23" s="877">
        <v>0</v>
      </c>
      <c r="K23" s="991"/>
      <c r="L23" s="1092"/>
      <c r="M23" s="989"/>
      <c r="N23" s="1151"/>
      <c r="O23" s="992"/>
      <c r="P23" s="943"/>
      <c r="Q23" s="1152">
        <f aca="true" t="shared" si="1" ref="Q23:Q45">SUM(M23:P23)</f>
        <v>0</v>
      </c>
      <c r="R23" s="1141" t="e">
        <f aca="true" t="shared" si="2" ref="R23:R45">(Q23/L23)*100</f>
        <v>#DIV/0!</v>
      </c>
      <c r="S23" s="1068"/>
      <c r="T23" s="940"/>
      <c r="U23" s="1094"/>
      <c r="V23" s="877"/>
    </row>
    <row r="24" spans="1:22" ht="15.75" thickBot="1">
      <c r="A24" s="930" t="s">
        <v>553</v>
      </c>
      <c r="B24" s="653" t="s">
        <v>552</v>
      </c>
      <c r="C24" s="654">
        <v>0</v>
      </c>
      <c r="D24" s="654">
        <v>1215</v>
      </c>
      <c r="E24" s="558">
        <v>672</v>
      </c>
      <c r="F24" s="1095">
        <v>846</v>
      </c>
      <c r="G24" s="1095">
        <v>922</v>
      </c>
      <c r="H24" s="1095">
        <v>1090</v>
      </c>
      <c r="I24" s="880">
        <v>1100</v>
      </c>
      <c r="J24" s="880">
        <v>1300</v>
      </c>
      <c r="K24" s="1142">
        <f>K25+K26+K28+K29</f>
        <v>1300</v>
      </c>
      <c r="L24" s="1142">
        <f>L25+L26+L28+L29</f>
        <v>1300</v>
      </c>
      <c r="M24" s="1097">
        <v>324</v>
      </c>
      <c r="N24" s="1153">
        <f aca="true" t="shared" si="3" ref="N24:N40">T24-M24</f>
        <v>324</v>
      </c>
      <c r="O24" s="1001">
        <f aca="true" t="shared" si="4" ref="O24:O40">U24-T24</f>
        <v>324</v>
      </c>
      <c r="P24" s="934"/>
      <c r="Q24" s="1154">
        <f t="shared" si="1"/>
        <v>972</v>
      </c>
      <c r="R24" s="1145">
        <f t="shared" si="2"/>
        <v>74.76923076923076</v>
      </c>
      <c r="S24" s="1068"/>
      <c r="T24" s="931">
        <v>648</v>
      </c>
      <c r="U24" s="1099">
        <v>972</v>
      </c>
      <c r="V24" s="880"/>
    </row>
    <row r="25" spans="1:22" ht="15">
      <c r="A25" s="939" t="s">
        <v>554</v>
      </c>
      <c r="B25" s="862" t="s">
        <v>683</v>
      </c>
      <c r="C25" s="617">
        <v>6341</v>
      </c>
      <c r="D25" s="617">
        <v>6960</v>
      </c>
      <c r="E25" s="554">
        <v>501</v>
      </c>
      <c r="F25" s="1032">
        <v>273</v>
      </c>
      <c r="G25" s="1032">
        <v>289</v>
      </c>
      <c r="H25" s="1032">
        <v>497</v>
      </c>
      <c r="I25" s="882">
        <v>593</v>
      </c>
      <c r="J25" s="882">
        <v>504</v>
      </c>
      <c r="K25" s="1100">
        <v>250</v>
      </c>
      <c r="L25" s="1100">
        <v>250</v>
      </c>
      <c r="M25" s="1100">
        <v>39</v>
      </c>
      <c r="N25" s="1151">
        <f t="shared" si="3"/>
        <v>60</v>
      </c>
      <c r="O25" s="983">
        <f t="shared" si="4"/>
        <v>24</v>
      </c>
      <c r="P25" s="1112"/>
      <c r="Q25" s="1150">
        <f t="shared" si="1"/>
        <v>123</v>
      </c>
      <c r="R25" s="1138">
        <f t="shared" si="2"/>
        <v>49.2</v>
      </c>
      <c r="S25" s="1068"/>
      <c r="T25" s="941">
        <v>99</v>
      </c>
      <c r="U25" s="1102">
        <v>123</v>
      </c>
      <c r="V25" s="882"/>
    </row>
    <row r="26" spans="1:22" ht="15">
      <c r="A26" s="949" t="s">
        <v>556</v>
      </c>
      <c r="B26" s="866" t="s">
        <v>684</v>
      </c>
      <c r="C26" s="630">
        <v>1745</v>
      </c>
      <c r="D26" s="630">
        <v>2223</v>
      </c>
      <c r="E26" s="556">
        <v>502</v>
      </c>
      <c r="F26" s="1032">
        <v>337</v>
      </c>
      <c r="G26" s="1032">
        <v>374</v>
      </c>
      <c r="H26" s="1032">
        <v>367</v>
      </c>
      <c r="I26" s="877">
        <v>439</v>
      </c>
      <c r="J26" s="877">
        <v>345</v>
      </c>
      <c r="K26" s="991">
        <v>450</v>
      </c>
      <c r="L26" s="991">
        <v>450</v>
      </c>
      <c r="M26" s="991">
        <v>127</v>
      </c>
      <c r="N26" s="1151">
        <f t="shared" si="3"/>
        <v>87</v>
      </c>
      <c r="O26" s="992">
        <f t="shared" si="4"/>
        <v>42</v>
      </c>
      <c r="P26" s="943"/>
      <c r="Q26" s="1152">
        <f t="shared" si="1"/>
        <v>256</v>
      </c>
      <c r="R26" s="1141">
        <f t="shared" si="2"/>
        <v>56.888888888888886</v>
      </c>
      <c r="S26" s="1068"/>
      <c r="T26" s="940">
        <v>214</v>
      </c>
      <c r="U26" s="1094">
        <v>256</v>
      </c>
      <c r="V26" s="877"/>
    </row>
    <row r="27" spans="1:22" ht="15">
      <c r="A27" s="949" t="s">
        <v>558</v>
      </c>
      <c r="B27" s="866" t="s">
        <v>685</v>
      </c>
      <c r="C27" s="630">
        <v>0</v>
      </c>
      <c r="D27" s="630">
        <v>0</v>
      </c>
      <c r="E27" s="556">
        <v>504</v>
      </c>
      <c r="F27" s="1032"/>
      <c r="G27" s="1032">
        <v>0</v>
      </c>
      <c r="H27" s="1032">
        <v>0</v>
      </c>
      <c r="I27" s="877">
        <v>0</v>
      </c>
      <c r="J27" s="877">
        <v>0</v>
      </c>
      <c r="K27" s="991">
        <v>0</v>
      </c>
      <c r="L27" s="991">
        <v>0</v>
      </c>
      <c r="M27" s="991">
        <v>0</v>
      </c>
      <c r="N27" s="1151">
        <f t="shared" si="3"/>
        <v>0</v>
      </c>
      <c r="O27" s="992">
        <f t="shared" si="4"/>
        <v>0</v>
      </c>
      <c r="P27" s="943"/>
      <c r="Q27" s="1152">
        <f t="shared" si="1"/>
        <v>0</v>
      </c>
      <c r="R27" s="1141" t="e">
        <f t="shared" si="2"/>
        <v>#DIV/0!</v>
      </c>
      <c r="S27" s="1068"/>
      <c r="T27" s="940">
        <v>0</v>
      </c>
      <c r="U27" s="1094">
        <v>0</v>
      </c>
      <c r="V27" s="877"/>
    </row>
    <row r="28" spans="1:22" ht="15">
      <c r="A28" s="949" t="s">
        <v>560</v>
      </c>
      <c r="B28" s="866" t="s">
        <v>686</v>
      </c>
      <c r="C28" s="630">
        <v>428</v>
      </c>
      <c r="D28" s="630">
        <v>253</v>
      </c>
      <c r="E28" s="556">
        <v>511</v>
      </c>
      <c r="F28" s="1032">
        <v>323</v>
      </c>
      <c r="G28" s="1032">
        <v>86</v>
      </c>
      <c r="H28" s="1032">
        <v>424</v>
      </c>
      <c r="I28" s="877">
        <v>66</v>
      </c>
      <c r="J28" s="877">
        <v>464</v>
      </c>
      <c r="K28" s="991">
        <v>400</v>
      </c>
      <c r="L28" s="991">
        <v>400</v>
      </c>
      <c r="M28" s="991">
        <v>14</v>
      </c>
      <c r="N28" s="1151">
        <f t="shared" si="3"/>
        <v>6</v>
      </c>
      <c r="O28" s="992">
        <f t="shared" si="4"/>
        <v>186</v>
      </c>
      <c r="P28" s="943"/>
      <c r="Q28" s="1152">
        <f t="shared" si="1"/>
        <v>206</v>
      </c>
      <c r="R28" s="1141">
        <f t="shared" si="2"/>
        <v>51.5</v>
      </c>
      <c r="S28" s="1068"/>
      <c r="T28" s="940">
        <v>20</v>
      </c>
      <c r="U28" s="1094">
        <v>206</v>
      </c>
      <c r="V28" s="877"/>
    </row>
    <row r="29" spans="1:22" ht="15">
      <c r="A29" s="949" t="s">
        <v>562</v>
      </c>
      <c r="B29" s="866" t="s">
        <v>687</v>
      </c>
      <c r="C29" s="630">
        <v>1057</v>
      </c>
      <c r="D29" s="630">
        <v>1451</v>
      </c>
      <c r="E29" s="556">
        <v>518</v>
      </c>
      <c r="F29" s="1032">
        <v>152</v>
      </c>
      <c r="G29" s="1032">
        <v>328</v>
      </c>
      <c r="H29" s="1032">
        <v>279</v>
      </c>
      <c r="I29" s="877">
        <v>240</v>
      </c>
      <c r="J29" s="877">
        <v>251</v>
      </c>
      <c r="K29" s="991">
        <v>200</v>
      </c>
      <c r="L29" s="991">
        <v>200</v>
      </c>
      <c r="M29" s="991">
        <v>46</v>
      </c>
      <c r="N29" s="1151">
        <f t="shared" si="3"/>
        <v>103</v>
      </c>
      <c r="O29" s="992">
        <f t="shared" si="4"/>
        <v>65</v>
      </c>
      <c r="P29" s="943"/>
      <c r="Q29" s="1152">
        <f t="shared" si="1"/>
        <v>214</v>
      </c>
      <c r="R29" s="1141">
        <f t="shared" si="2"/>
        <v>107</v>
      </c>
      <c r="S29" s="1068"/>
      <c r="T29" s="940">
        <v>149</v>
      </c>
      <c r="U29" s="1094">
        <v>214</v>
      </c>
      <c r="V29" s="877"/>
    </row>
    <row r="30" spans="1:22" ht="15">
      <c r="A30" s="949" t="s">
        <v>564</v>
      </c>
      <c r="B30" s="884" t="s">
        <v>688</v>
      </c>
      <c r="C30" s="630">
        <v>10408</v>
      </c>
      <c r="D30" s="630">
        <v>11792</v>
      </c>
      <c r="E30" s="556">
        <v>521</v>
      </c>
      <c r="F30" s="1032">
        <v>1518</v>
      </c>
      <c r="G30" s="1032">
        <v>1553</v>
      </c>
      <c r="H30" s="1032">
        <v>1816</v>
      </c>
      <c r="I30" s="877">
        <v>1907</v>
      </c>
      <c r="J30" s="877">
        <v>2314</v>
      </c>
      <c r="K30" s="991">
        <v>2218</v>
      </c>
      <c r="L30" s="991">
        <v>2140</v>
      </c>
      <c r="M30" s="991">
        <v>608</v>
      </c>
      <c r="N30" s="1151">
        <f t="shared" si="3"/>
        <v>551</v>
      </c>
      <c r="O30" s="992">
        <f t="shared" si="4"/>
        <v>524</v>
      </c>
      <c r="P30" s="943"/>
      <c r="Q30" s="1152">
        <f t="shared" si="1"/>
        <v>1683</v>
      </c>
      <c r="R30" s="1141">
        <f t="shared" si="2"/>
        <v>78.64485981308411</v>
      </c>
      <c r="S30" s="1068"/>
      <c r="T30" s="940">
        <v>1159</v>
      </c>
      <c r="U30" s="1094">
        <v>1683</v>
      </c>
      <c r="V30" s="877"/>
    </row>
    <row r="31" spans="1:22" ht="15">
      <c r="A31" s="949" t="s">
        <v>566</v>
      </c>
      <c r="B31" s="884" t="s">
        <v>689</v>
      </c>
      <c r="C31" s="630">
        <v>3640</v>
      </c>
      <c r="D31" s="630">
        <v>4174</v>
      </c>
      <c r="E31" s="556" t="s">
        <v>568</v>
      </c>
      <c r="F31" s="1032">
        <v>586</v>
      </c>
      <c r="G31" s="1032">
        <v>571</v>
      </c>
      <c r="H31" s="1032">
        <v>643</v>
      </c>
      <c r="I31" s="877">
        <v>658</v>
      </c>
      <c r="J31" s="877">
        <v>810</v>
      </c>
      <c r="K31" s="991">
        <v>776</v>
      </c>
      <c r="L31" s="991">
        <v>748</v>
      </c>
      <c r="M31" s="991">
        <v>148</v>
      </c>
      <c r="N31" s="1151">
        <f t="shared" si="3"/>
        <v>251</v>
      </c>
      <c r="O31" s="992">
        <f t="shared" si="4"/>
        <v>184</v>
      </c>
      <c r="P31" s="943"/>
      <c r="Q31" s="1152">
        <f t="shared" si="1"/>
        <v>583</v>
      </c>
      <c r="R31" s="1141">
        <f t="shared" si="2"/>
        <v>77.94117647058823</v>
      </c>
      <c r="S31" s="1068"/>
      <c r="T31" s="940">
        <v>399</v>
      </c>
      <c r="U31" s="1094">
        <v>583</v>
      </c>
      <c r="V31" s="877"/>
    </row>
    <row r="32" spans="1:22" ht="15">
      <c r="A32" s="949" t="s">
        <v>569</v>
      </c>
      <c r="B32" s="866" t="s">
        <v>690</v>
      </c>
      <c r="C32" s="630">
        <v>0</v>
      </c>
      <c r="D32" s="630">
        <v>0</v>
      </c>
      <c r="E32" s="556">
        <v>557</v>
      </c>
      <c r="F32" s="1032"/>
      <c r="G32" s="1032">
        <v>0</v>
      </c>
      <c r="H32" s="1032">
        <v>0</v>
      </c>
      <c r="I32" s="877">
        <v>0</v>
      </c>
      <c r="J32" s="877">
        <v>0</v>
      </c>
      <c r="K32" s="991"/>
      <c r="L32" s="991"/>
      <c r="M32" s="991">
        <v>0</v>
      </c>
      <c r="N32" s="1151">
        <f t="shared" si="3"/>
        <v>0</v>
      </c>
      <c r="O32" s="992">
        <f t="shared" si="4"/>
        <v>0</v>
      </c>
      <c r="P32" s="943"/>
      <c r="Q32" s="1152">
        <f t="shared" si="1"/>
        <v>0</v>
      </c>
      <c r="R32" s="1141" t="e">
        <f t="shared" si="2"/>
        <v>#DIV/0!</v>
      </c>
      <c r="S32" s="1068"/>
      <c r="T32" s="940">
        <v>0</v>
      </c>
      <c r="U32" s="1094">
        <v>0</v>
      </c>
      <c r="V32" s="877"/>
    </row>
    <row r="33" spans="1:22" ht="15">
      <c r="A33" s="949" t="s">
        <v>571</v>
      </c>
      <c r="B33" s="866" t="s">
        <v>691</v>
      </c>
      <c r="C33" s="630">
        <v>1711</v>
      </c>
      <c r="D33" s="630">
        <v>1801</v>
      </c>
      <c r="E33" s="556">
        <v>551</v>
      </c>
      <c r="F33" s="1032"/>
      <c r="G33" s="1032">
        <v>0</v>
      </c>
      <c r="H33" s="1032">
        <v>0</v>
      </c>
      <c r="I33" s="877">
        <v>0</v>
      </c>
      <c r="J33" s="877">
        <v>0</v>
      </c>
      <c r="K33" s="991"/>
      <c r="L33" s="991"/>
      <c r="M33" s="991">
        <v>0</v>
      </c>
      <c r="N33" s="1151">
        <f t="shared" si="3"/>
        <v>0</v>
      </c>
      <c r="O33" s="992">
        <f t="shared" si="4"/>
        <v>0</v>
      </c>
      <c r="P33" s="943"/>
      <c r="Q33" s="1152">
        <f t="shared" si="1"/>
        <v>0</v>
      </c>
      <c r="R33" s="1141" t="e">
        <f t="shared" si="2"/>
        <v>#DIV/0!</v>
      </c>
      <c r="S33" s="1068"/>
      <c r="T33" s="940">
        <v>0</v>
      </c>
      <c r="U33" s="1094">
        <v>0</v>
      </c>
      <c r="V33" s="877"/>
    </row>
    <row r="34" spans="1:22" ht="15.75" thickBot="1">
      <c r="A34" s="918" t="s">
        <v>573</v>
      </c>
      <c r="B34" s="868" t="s">
        <v>692</v>
      </c>
      <c r="C34" s="635">
        <v>569</v>
      </c>
      <c r="D34" s="635">
        <v>614</v>
      </c>
      <c r="E34" s="561" t="s">
        <v>574</v>
      </c>
      <c r="F34" s="1033">
        <v>9</v>
      </c>
      <c r="G34" s="1033">
        <v>11</v>
      </c>
      <c r="H34" s="1033">
        <v>16</v>
      </c>
      <c r="I34" s="885">
        <v>18</v>
      </c>
      <c r="J34" s="885">
        <v>18</v>
      </c>
      <c r="K34" s="1104">
        <v>39</v>
      </c>
      <c r="L34" s="1104">
        <v>38</v>
      </c>
      <c r="M34" s="1034">
        <v>2</v>
      </c>
      <c r="N34" s="1192">
        <f t="shared" si="3"/>
        <v>4</v>
      </c>
      <c r="O34" s="1001">
        <f t="shared" si="4"/>
        <v>2</v>
      </c>
      <c r="P34" s="934"/>
      <c r="Q34" s="1154">
        <f t="shared" si="1"/>
        <v>8</v>
      </c>
      <c r="R34" s="1145">
        <f t="shared" si="2"/>
        <v>21.052631578947366</v>
      </c>
      <c r="S34" s="1068"/>
      <c r="T34" s="1164">
        <v>6</v>
      </c>
      <c r="U34" s="1106">
        <v>8</v>
      </c>
      <c r="V34" s="885"/>
    </row>
    <row r="35" spans="1:22" ht="15.75" thickBot="1">
      <c r="A35" s="1022" t="s">
        <v>575</v>
      </c>
      <c r="B35" s="871" t="s">
        <v>576</v>
      </c>
      <c r="C35" s="574">
        <f>SUM(C25:C34)</f>
        <v>25899</v>
      </c>
      <c r="D35" s="574">
        <f>SUM(D25:D34)</f>
        <v>29268</v>
      </c>
      <c r="E35" s="693"/>
      <c r="F35" s="1023">
        <f aca="true" t="shared" si="5" ref="F35:O35">SUM(F25:F34)</f>
        <v>3198</v>
      </c>
      <c r="G35" s="1023">
        <f t="shared" si="5"/>
        <v>3212</v>
      </c>
      <c r="H35" s="1023">
        <f t="shared" si="5"/>
        <v>4042</v>
      </c>
      <c r="I35" s="1023">
        <f t="shared" si="5"/>
        <v>3921</v>
      </c>
      <c r="J35" s="1023">
        <f>SUM(J25:J34)</f>
        <v>4706</v>
      </c>
      <c r="K35" s="1107">
        <f t="shared" si="5"/>
        <v>4333</v>
      </c>
      <c r="L35" s="1107">
        <f t="shared" si="5"/>
        <v>4226</v>
      </c>
      <c r="M35" s="1026">
        <f t="shared" si="5"/>
        <v>984</v>
      </c>
      <c r="N35" s="1026">
        <f t="shared" si="5"/>
        <v>1062</v>
      </c>
      <c r="O35" s="1109">
        <f t="shared" si="5"/>
        <v>1027</v>
      </c>
      <c r="P35" s="1171"/>
      <c r="Q35" s="1157">
        <f t="shared" si="1"/>
        <v>3073</v>
      </c>
      <c r="R35" s="1158">
        <f t="shared" si="2"/>
        <v>72.71651680075722</v>
      </c>
      <c r="S35" s="1068"/>
      <c r="T35" s="1023">
        <f>SUM(T25:T34)</f>
        <v>2046</v>
      </c>
      <c r="U35" s="889">
        <f>SUM(U25:U34)</f>
        <v>3073</v>
      </c>
      <c r="V35" s="1023">
        <v>0</v>
      </c>
    </row>
    <row r="36" spans="1:22" ht="15">
      <c r="A36" s="939" t="s">
        <v>577</v>
      </c>
      <c r="B36" s="862" t="s">
        <v>693</v>
      </c>
      <c r="C36" s="617">
        <v>0</v>
      </c>
      <c r="D36" s="617">
        <v>0</v>
      </c>
      <c r="E36" s="554">
        <v>601</v>
      </c>
      <c r="F36" s="1031"/>
      <c r="G36" s="1031">
        <v>0</v>
      </c>
      <c r="H36" s="1031">
        <v>0</v>
      </c>
      <c r="I36" s="882">
        <v>0</v>
      </c>
      <c r="J36" s="882">
        <v>0</v>
      </c>
      <c r="K36" s="1100"/>
      <c r="L36" s="1111"/>
      <c r="M36" s="981">
        <v>0</v>
      </c>
      <c r="N36" s="1151">
        <f t="shared" si="3"/>
        <v>0</v>
      </c>
      <c r="O36" s="983">
        <f t="shared" si="4"/>
        <v>0</v>
      </c>
      <c r="P36" s="1112"/>
      <c r="Q36" s="1150">
        <f t="shared" si="1"/>
        <v>0</v>
      </c>
      <c r="R36" s="1138" t="e">
        <f t="shared" si="2"/>
        <v>#DIV/0!</v>
      </c>
      <c r="S36" s="1068"/>
      <c r="T36" s="941">
        <v>0</v>
      </c>
      <c r="U36" s="1102">
        <v>0</v>
      </c>
      <c r="V36" s="882"/>
    </row>
    <row r="37" spans="1:22" ht="15">
      <c r="A37" s="949" t="s">
        <v>579</v>
      </c>
      <c r="B37" s="866" t="s">
        <v>694</v>
      </c>
      <c r="C37" s="630">
        <v>1190</v>
      </c>
      <c r="D37" s="630">
        <v>1857</v>
      </c>
      <c r="E37" s="556">
        <v>602</v>
      </c>
      <c r="F37" s="1032">
        <v>167</v>
      </c>
      <c r="G37" s="1032">
        <v>189</v>
      </c>
      <c r="H37" s="1032">
        <v>288</v>
      </c>
      <c r="I37" s="877">
        <v>403</v>
      </c>
      <c r="J37" s="877">
        <v>380</v>
      </c>
      <c r="K37" s="991"/>
      <c r="L37" s="1092"/>
      <c r="M37" s="991">
        <v>90</v>
      </c>
      <c r="N37" s="1151">
        <f t="shared" si="3"/>
        <v>142</v>
      </c>
      <c r="O37" s="992">
        <f t="shared" si="4"/>
        <v>26</v>
      </c>
      <c r="P37" s="943"/>
      <c r="Q37" s="1152">
        <f t="shared" si="1"/>
        <v>258</v>
      </c>
      <c r="R37" s="1141" t="e">
        <f t="shared" si="2"/>
        <v>#DIV/0!</v>
      </c>
      <c r="S37" s="1068"/>
      <c r="T37" s="940">
        <v>232</v>
      </c>
      <c r="U37" s="1094">
        <v>258</v>
      </c>
      <c r="V37" s="877"/>
    </row>
    <row r="38" spans="1:22" ht="15">
      <c r="A38" s="949" t="s">
        <v>581</v>
      </c>
      <c r="B38" s="866" t="s">
        <v>695</v>
      </c>
      <c r="C38" s="630">
        <v>0</v>
      </c>
      <c r="D38" s="630">
        <v>0</v>
      </c>
      <c r="E38" s="556">
        <v>604</v>
      </c>
      <c r="F38" s="1032"/>
      <c r="G38" s="1032">
        <v>0</v>
      </c>
      <c r="H38" s="1032">
        <v>0</v>
      </c>
      <c r="I38" s="877">
        <v>0</v>
      </c>
      <c r="J38" s="877">
        <v>0</v>
      </c>
      <c r="K38" s="991"/>
      <c r="L38" s="1092"/>
      <c r="M38" s="991">
        <v>0</v>
      </c>
      <c r="N38" s="1151">
        <f t="shared" si="3"/>
        <v>0</v>
      </c>
      <c r="O38" s="992">
        <f t="shared" si="4"/>
        <v>0</v>
      </c>
      <c r="P38" s="943"/>
      <c r="Q38" s="1152">
        <f t="shared" si="1"/>
        <v>0</v>
      </c>
      <c r="R38" s="1141" t="e">
        <f t="shared" si="2"/>
        <v>#DIV/0!</v>
      </c>
      <c r="S38" s="1068"/>
      <c r="T38" s="940">
        <v>0</v>
      </c>
      <c r="U38" s="1094">
        <v>0</v>
      </c>
      <c r="V38" s="877"/>
    </row>
    <row r="39" spans="1:22" ht="15">
      <c r="A39" s="949" t="s">
        <v>583</v>
      </c>
      <c r="B39" s="866" t="s">
        <v>696</v>
      </c>
      <c r="C39" s="630">
        <v>12472</v>
      </c>
      <c r="D39" s="630">
        <v>13728</v>
      </c>
      <c r="E39" s="556" t="s">
        <v>585</v>
      </c>
      <c r="F39" s="1032">
        <v>2886</v>
      </c>
      <c r="G39" s="1032">
        <v>3036</v>
      </c>
      <c r="H39" s="1032">
        <v>3517</v>
      </c>
      <c r="I39" s="877">
        <v>3654</v>
      </c>
      <c r="J39" s="877">
        <v>4308</v>
      </c>
      <c r="K39" s="991">
        <f>K35</f>
        <v>4333</v>
      </c>
      <c r="L39" s="1092">
        <v>4226</v>
      </c>
      <c r="M39" s="991">
        <v>1081</v>
      </c>
      <c r="N39" s="1151">
        <f t="shared" si="3"/>
        <v>1114</v>
      </c>
      <c r="O39" s="992">
        <f t="shared" si="4"/>
        <v>1014</v>
      </c>
      <c r="P39" s="943"/>
      <c r="Q39" s="1152">
        <f t="shared" si="1"/>
        <v>3209</v>
      </c>
      <c r="R39" s="1141">
        <f t="shared" si="2"/>
        <v>75.93469001419783</v>
      </c>
      <c r="S39" s="1068"/>
      <c r="T39" s="940">
        <v>2195</v>
      </c>
      <c r="U39" s="1094">
        <v>3209</v>
      </c>
      <c r="V39" s="877"/>
    </row>
    <row r="40" spans="1:22" ht="15.75" thickBot="1">
      <c r="A40" s="918" t="s">
        <v>586</v>
      </c>
      <c r="B40" s="868" t="s">
        <v>692</v>
      </c>
      <c r="C40" s="635">
        <v>12330</v>
      </c>
      <c r="D40" s="635">
        <v>13218</v>
      </c>
      <c r="E40" s="561" t="s">
        <v>587</v>
      </c>
      <c r="F40" s="1033">
        <v>236</v>
      </c>
      <c r="G40" s="1033">
        <v>101</v>
      </c>
      <c r="H40" s="1033">
        <v>237</v>
      </c>
      <c r="I40" s="885"/>
      <c r="J40" s="885">
        <v>42</v>
      </c>
      <c r="K40" s="1104"/>
      <c r="L40" s="1114"/>
      <c r="M40" s="1034"/>
      <c r="N40" s="1151">
        <f t="shared" si="3"/>
        <v>0</v>
      </c>
      <c r="O40" s="1001">
        <f t="shared" si="4"/>
        <v>0</v>
      </c>
      <c r="P40" s="934"/>
      <c r="Q40" s="1154">
        <f t="shared" si="1"/>
        <v>0</v>
      </c>
      <c r="R40" s="1145" t="e">
        <f t="shared" si="2"/>
        <v>#DIV/0!</v>
      </c>
      <c r="S40" s="1068"/>
      <c r="T40" s="1164"/>
      <c r="U40" s="1106">
        <v>0</v>
      </c>
      <c r="V40" s="885"/>
    </row>
    <row r="41" spans="1:22" ht="15.75" thickBot="1">
      <c r="A41" s="1022" t="s">
        <v>588</v>
      </c>
      <c r="B41" s="871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1023">
        <f aca="true" t="shared" si="6" ref="F41:P41">SUM(F36:F40)</f>
        <v>3289</v>
      </c>
      <c r="G41" s="1023">
        <f t="shared" si="6"/>
        <v>3326</v>
      </c>
      <c r="H41" s="1023">
        <f t="shared" si="6"/>
        <v>4042</v>
      </c>
      <c r="I41" s="1023">
        <f t="shared" si="6"/>
        <v>4057</v>
      </c>
      <c r="J41" s="1023">
        <f>SUM(J36:J40)</f>
        <v>4730</v>
      </c>
      <c r="K41" s="1107">
        <f t="shared" si="6"/>
        <v>4333</v>
      </c>
      <c r="L41" s="1108">
        <f t="shared" si="6"/>
        <v>4226</v>
      </c>
      <c r="M41" s="1023">
        <f t="shared" si="6"/>
        <v>1171</v>
      </c>
      <c r="N41" s="1024">
        <f t="shared" si="6"/>
        <v>1256</v>
      </c>
      <c r="O41" s="1028">
        <f t="shared" si="6"/>
        <v>1040</v>
      </c>
      <c r="P41" s="890">
        <f t="shared" si="6"/>
        <v>0</v>
      </c>
      <c r="Q41" s="1157">
        <f t="shared" si="1"/>
        <v>3467</v>
      </c>
      <c r="R41" s="1146">
        <f t="shared" si="2"/>
        <v>82.03975390440132</v>
      </c>
      <c r="S41" s="1068"/>
      <c r="T41" s="1023">
        <f>SUM(T36:T40)</f>
        <v>2427</v>
      </c>
      <c r="U41" s="889">
        <v>3467</v>
      </c>
      <c r="V41" s="1023">
        <v>0</v>
      </c>
    </row>
    <row r="42" spans="1:22" ht="6.75" customHeight="1" thickBot="1">
      <c r="A42" s="918"/>
      <c r="B42" s="551"/>
      <c r="C42" s="706"/>
      <c r="D42" s="706"/>
      <c r="E42" s="570"/>
      <c r="F42" s="1033"/>
      <c r="G42" s="1033"/>
      <c r="H42" s="1033"/>
      <c r="I42" s="889"/>
      <c r="J42" s="889"/>
      <c r="K42" s="1117"/>
      <c r="L42" s="1118"/>
      <c r="M42" s="1033"/>
      <c r="N42" s="1151"/>
      <c r="O42" s="1193"/>
      <c r="P42" s="1039"/>
      <c r="Q42" s="1159"/>
      <c r="R42" s="1116"/>
      <c r="S42" s="1068"/>
      <c r="T42" s="920"/>
      <c r="U42" s="889"/>
      <c r="V42" s="889"/>
    </row>
    <row r="43" spans="1:22" ht="15.75" thickBot="1">
      <c r="A43" s="1041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1023">
        <f aca="true" t="shared" si="7" ref="F43:P43">F41-F39</f>
        <v>403</v>
      </c>
      <c r="G43" s="1023">
        <f t="shared" si="7"/>
        <v>290</v>
      </c>
      <c r="H43" s="1023">
        <f t="shared" si="7"/>
        <v>525</v>
      </c>
      <c r="I43" s="1023">
        <f t="shared" si="7"/>
        <v>403</v>
      </c>
      <c r="J43" s="1023">
        <f>J41-J39</f>
        <v>422</v>
      </c>
      <c r="K43" s="1023">
        <f>K41-K39</f>
        <v>0</v>
      </c>
      <c r="L43" s="1030">
        <f t="shared" si="7"/>
        <v>0</v>
      </c>
      <c r="M43" s="1023">
        <f t="shared" si="7"/>
        <v>90</v>
      </c>
      <c r="N43" s="1023">
        <f t="shared" si="7"/>
        <v>142</v>
      </c>
      <c r="O43" s="1023">
        <f t="shared" si="7"/>
        <v>26</v>
      </c>
      <c r="P43" s="889">
        <f t="shared" si="7"/>
        <v>0</v>
      </c>
      <c r="Q43" s="1161">
        <f t="shared" si="1"/>
        <v>258</v>
      </c>
      <c r="R43" s="1116" t="e">
        <f t="shared" si="2"/>
        <v>#DIV/0!</v>
      </c>
      <c r="S43" s="1068"/>
      <c r="T43" s="1023">
        <f>T41-T39</f>
        <v>232</v>
      </c>
      <c r="U43" s="1023">
        <f>U41-U39</f>
        <v>258</v>
      </c>
      <c r="V43" s="1023">
        <f>V41-V39</f>
        <v>0</v>
      </c>
    </row>
    <row r="44" spans="1:22" ht="15.75" thickBot="1">
      <c r="A44" s="1022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1023">
        <f aca="true" t="shared" si="8" ref="F44:P44">F41-F35</f>
        <v>91</v>
      </c>
      <c r="G44" s="1023">
        <f t="shared" si="8"/>
        <v>114</v>
      </c>
      <c r="H44" s="1023">
        <f t="shared" si="8"/>
        <v>0</v>
      </c>
      <c r="I44" s="1023">
        <f t="shared" si="8"/>
        <v>136</v>
      </c>
      <c r="J44" s="1023">
        <f>J41-J35</f>
        <v>24</v>
      </c>
      <c r="K44" s="1023">
        <f>K41-K35</f>
        <v>0</v>
      </c>
      <c r="L44" s="1030">
        <f t="shared" si="8"/>
        <v>0</v>
      </c>
      <c r="M44" s="1023">
        <f t="shared" si="8"/>
        <v>187</v>
      </c>
      <c r="N44" s="1023">
        <f t="shared" si="8"/>
        <v>194</v>
      </c>
      <c r="O44" s="1023">
        <f t="shared" si="8"/>
        <v>13</v>
      </c>
      <c r="P44" s="889">
        <f t="shared" si="8"/>
        <v>0</v>
      </c>
      <c r="Q44" s="1161">
        <f t="shared" si="1"/>
        <v>394</v>
      </c>
      <c r="R44" s="1116" t="e">
        <f t="shared" si="2"/>
        <v>#DIV/0!</v>
      </c>
      <c r="S44" s="1068"/>
      <c r="T44" s="1023">
        <f>T41-T35</f>
        <v>381</v>
      </c>
      <c r="U44" s="1023">
        <f>U41-U35</f>
        <v>394</v>
      </c>
      <c r="V44" s="1023">
        <f>V41-V35</f>
        <v>0</v>
      </c>
    </row>
    <row r="45" spans="1:22" ht="15.75" thickBot="1">
      <c r="A45" s="1045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1023">
        <f aca="true" t="shared" si="9" ref="F45:P45">F44-F39</f>
        <v>-2795</v>
      </c>
      <c r="G45" s="1023">
        <f t="shared" si="9"/>
        <v>-2922</v>
      </c>
      <c r="H45" s="1023">
        <f t="shared" si="9"/>
        <v>-3517</v>
      </c>
      <c r="I45" s="1023">
        <f t="shared" si="9"/>
        <v>-3518</v>
      </c>
      <c r="J45" s="1023">
        <f>J44-J39</f>
        <v>-4284</v>
      </c>
      <c r="K45" s="1023">
        <f t="shared" si="9"/>
        <v>-4333</v>
      </c>
      <c r="L45" s="1030">
        <f t="shared" si="9"/>
        <v>-4226</v>
      </c>
      <c r="M45" s="1023">
        <f t="shared" si="9"/>
        <v>-894</v>
      </c>
      <c r="N45" s="1023">
        <f t="shared" si="9"/>
        <v>-920</v>
      </c>
      <c r="O45" s="1023">
        <f t="shared" si="9"/>
        <v>-1001</v>
      </c>
      <c r="P45" s="889">
        <f t="shared" si="9"/>
        <v>0</v>
      </c>
      <c r="Q45" s="1161">
        <f t="shared" si="1"/>
        <v>-2815</v>
      </c>
      <c r="R45" s="1030">
        <f t="shared" si="2"/>
        <v>66.61145291055371</v>
      </c>
      <c r="S45" s="1068"/>
      <c r="T45" s="1023">
        <f>T44-T39</f>
        <v>-1814</v>
      </c>
      <c r="U45" s="1023">
        <f>U44-U39</f>
        <v>-2815</v>
      </c>
      <c r="V45" s="1023">
        <f>V44-V39</f>
        <v>0</v>
      </c>
    </row>
    <row r="46" ht="12.75">
      <c r="A46" s="1053"/>
    </row>
    <row r="47" ht="12.75">
      <c r="A47" s="1053"/>
    </row>
    <row r="48" spans="1:22" ht="14.25">
      <c r="A48" s="893" t="s">
        <v>697</v>
      </c>
      <c r="Q48" s="108"/>
      <c r="R48" s="108"/>
      <c r="S48" s="108"/>
      <c r="T48" s="108"/>
      <c r="U48" s="108"/>
      <c r="V48" s="108"/>
    </row>
    <row r="49" spans="1:22" ht="14.25">
      <c r="A49" s="894" t="s">
        <v>698</v>
      </c>
      <c r="Q49" s="108"/>
      <c r="R49" s="108"/>
      <c r="S49" s="108"/>
      <c r="T49" s="108"/>
      <c r="U49" s="108"/>
      <c r="V49" s="108"/>
    </row>
    <row r="50" spans="1:22" ht="14.25">
      <c r="A50" s="1047" t="s">
        <v>699</v>
      </c>
      <c r="Q50" s="108"/>
      <c r="R50" s="108"/>
      <c r="S50" s="108"/>
      <c r="T50" s="108"/>
      <c r="U50" s="108"/>
      <c r="V50" s="108"/>
    </row>
    <row r="51" spans="1:22" ht="14.25">
      <c r="A51" s="1048"/>
      <c r="Q51" s="108"/>
      <c r="R51" s="108"/>
      <c r="S51" s="108"/>
      <c r="T51" s="108"/>
      <c r="U51" s="108"/>
      <c r="V51" s="108"/>
    </row>
    <row r="52" spans="1:22" ht="12.75">
      <c r="A52" s="1053" t="s">
        <v>707</v>
      </c>
      <c r="Q52" s="108"/>
      <c r="R52" s="108"/>
      <c r="S52" s="108"/>
      <c r="T52" s="108"/>
      <c r="U52" s="108"/>
      <c r="V52" s="108"/>
    </row>
    <row r="53" spans="1:22" ht="12.75">
      <c r="A53" s="1053"/>
      <c r="Q53" s="108"/>
      <c r="R53" s="108"/>
      <c r="S53" s="108"/>
      <c r="T53" s="108"/>
      <c r="U53" s="108"/>
      <c r="V53" s="108"/>
    </row>
    <row r="54" spans="1:22" ht="12.75">
      <c r="A54" s="1053" t="s">
        <v>718</v>
      </c>
      <c r="Q54" s="108"/>
      <c r="R54" s="108"/>
      <c r="S54" s="108"/>
      <c r="T54" s="108"/>
      <c r="U54" s="108"/>
      <c r="V54" s="108"/>
    </row>
    <row r="55" ht="12.75">
      <c r="A55" s="1053" t="s">
        <v>716</v>
      </c>
    </row>
    <row r="56" ht="12.75">
      <c r="A56" s="1053"/>
    </row>
    <row r="57" ht="12.75">
      <c r="A57" s="1053"/>
    </row>
    <row r="58" ht="12.75">
      <c r="A58" s="1053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0.00390625" style="108" customWidth="1"/>
    <col min="2" max="2" width="13.57421875" style="108" customWidth="1"/>
    <col min="3" max="4" width="10.8515625" style="108" hidden="1" customWidth="1"/>
    <col min="5" max="5" width="6.421875" style="576" customWidth="1"/>
    <col min="6" max="6" width="11.7109375" style="108" hidden="1" customWidth="1"/>
    <col min="7" max="8" width="11.57421875" style="108" hidden="1" customWidth="1"/>
    <col min="9" max="10" width="11.57421875" style="496" hidden="1" customWidth="1"/>
    <col min="11" max="11" width="11.57421875" style="496" customWidth="1"/>
    <col min="12" max="12" width="11.421875" style="496" customWidth="1"/>
    <col min="13" max="13" width="9.8515625" style="496" customWidth="1"/>
    <col min="14" max="14" width="10.7109375" style="496" customWidth="1"/>
    <col min="15" max="15" width="9.28125" style="496" customWidth="1"/>
    <col min="16" max="16" width="9.140625" style="496" customWidth="1"/>
    <col min="17" max="17" width="12.00390625" style="496" customWidth="1"/>
    <col min="18" max="18" width="9.140625" style="478" customWidth="1"/>
    <col min="19" max="19" width="3.421875" style="496" customWidth="1"/>
    <col min="20" max="20" width="12.57421875" style="496" customWidth="1"/>
    <col min="21" max="21" width="11.8515625" style="496" customWidth="1"/>
    <col min="22" max="22" width="12.00390625" style="496" customWidth="1"/>
    <col min="23" max="16384" width="9.140625" style="108" customWidth="1"/>
  </cols>
  <sheetData>
    <row r="1" spans="1:22" ht="18">
      <c r="A1" s="1354" t="s">
        <v>665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1355"/>
      <c r="R1" s="1355"/>
      <c r="S1" s="1355"/>
      <c r="T1" s="1355"/>
      <c r="U1" s="1355"/>
      <c r="V1" s="1355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902"/>
      <c r="L3" s="897"/>
      <c r="M3" s="897"/>
    </row>
    <row r="4" spans="1:13" ht="13.5" thickBot="1">
      <c r="A4" s="1053"/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1251" t="s">
        <v>709</v>
      </c>
      <c r="B5" s="1252" t="s">
        <v>719</v>
      </c>
      <c r="C5" s="1253"/>
      <c r="D5" s="1253"/>
      <c r="E5" s="1254"/>
      <c r="F5" s="1253"/>
      <c r="G5" s="1255"/>
      <c r="H5" s="1253"/>
      <c r="I5" s="1256"/>
      <c r="J5" s="1191"/>
      <c r="K5" s="855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1257" t="s">
        <v>27</v>
      </c>
      <c r="B7" s="1258" t="s">
        <v>498</v>
      </c>
      <c r="C7" s="1259"/>
      <c r="D7" s="1259"/>
      <c r="E7" s="1258" t="s">
        <v>501</v>
      </c>
      <c r="F7" s="1259"/>
      <c r="G7" s="1259"/>
      <c r="H7" s="1258" t="s">
        <v>667</v>
      </c>
      <c r="I7" s="1260" t="s">
        <v>668</v>
      </c>
      <c r="J7" s="1260" t="s">
        <v>669</v>
      </c>
      <c r="K7" s="1261" t="s">
        <v>670</v>
      </c>
      <c r="L7" s="1262"/>
      <c r="M7" s="1261" t="s">
        <v>495</v>
      </c>
      <c r="N7" s="1263"/>
      <c r="O7" s="1263"/>
      <c r="P7" s="1264"/>
      <c r="Q7" s="1265" t="s">
        <v>671</v>
      </c>
      <c r="R7" s="1266" t="s">
        <v>497</v>
      </c>
      <c r="T7" s="1267" t="s">
        <v>672</v>
      </c>
      <c r="U7" s="1268"/>
      <c r="V7" s="1262"/>
    </row>
    <row r="8" spans="1:22" ht="13.5" thickBot="1">
      <c r="A8" s="1269"/>
      <c r="B8" s="1270"/>
      <c r="C8" s="1271" t="s">
        <v>499</v>
      </c>
      <c r="D8" s="1271" t="s">
        <v>500</v>
      </c>
      <c r="E8" s="1270"/>
      <c r="F8" s="1271" t="s">
        <v>673</v>
      </c>
      <c r="G8" s="1271" t="s">
        <v>674</v>
      </c>
      <c r="H8" s="1270"/>
      <c r="I8" s="1270"/>
      <c r="J8" s="1270"/>
      <c r="K8" s="1272" t="s">
        <v>31</v>
      </c>
      <c r="L8" s="1272" t="s">
        <v>32</v>
      </c>
      <c r="M8" s="1273" t="s">
        <v>508</v>
      </c>
      <c r="N8" s="1274" t="s">
        <v>511</v>
      </c>
      <c r="O8" s="1275" t="s">
        <v>514</v>
      </c>
      <c r="P8" s="1276" t="s">
        <v>517</v>
      </c>
      <c r="Q8" s="1272" t="s">
        <v>518</v>
      </c>
      <c r="R8" s="1277" t="s">
        <v>519</v>
      </c>
      <c r="T8" s="1278" t="s">
        <v>676</v>
      </c>
      <c r="U8" s="1278" t="s">
        <v>677</v>
      </c>
      <c r="V8" s="1278" t="s">
        <v>678</v>
      </c>
    </row>
    <row r="9" spans="1:22" ht="12.75">
      <c r="A9" s="1279" t="s">
        <v>520</v>
      </c>
      <c r="B9" s="1194"/>
      <c r="C9" s="1195">
        <v>104</v>
      </c>
      <c r="D9" s="1195">
        <v>104</v>
      </c>
      <c r="E9" s="1196"/>
      <c r="F9" s="1197">
        <v>36</v>
      </c>
      <c r="G9" s="1197">
        <v>35</v>
      </c>
      <c r="H9" s="1197">
        <v>33</v>
      </c>
      <c r="I9" s="1198">
        <v>32</v>
      </c>
      <c r="J9" s="1199">
        <v>32</v>
      </c>
      <c r="K9" s="1280"/>
      <c r="L9" s="1280"/>
      <c r="M9" s="1281">
        <v>33</v>
      </c>
      <c r="N9" s="983">
        <f>T9</f>
        <v>33</v>
      </c>
      <c r="O9" s="1282">
        <f>U9</f>
        <v>36</v>
      </c>
      <c r="P9" s="1283"/>
      <c r="Q9" s="1284" t="s">
        <v>521</v>
      </c>
      <c r="R9" s="1285" t="s">
        <v>521</v>
      </c>
      <c r="S9" s="1068"/>
      <c r="T9" s="1226">
        <v>33</v>
      </c>
      <c r="U9" s="1198">
        <v>36</v>
      </c>
      <c r="V9" s="1199"/>
    </row>
    <row r="10" spans="1:22" ht="13.5" thickBot="1">
      <c r="A10" s="1286" t="s">
        <v>522</v>
      </c>
      <c r="B10" s="480"/>
      <c r="C10" s="1200">
        <v>101</v>
      </c>
      <c r="D10" s="1200">
        <v>104</v>
      </c>
      <c r="E10" s="1201"/>
      <c r="F10" s="1202">
        <v>34</v>
      </c>
      <c r="G10" s="1202">
        <v>33</v>
      </c>
      <c r="H10" s="1202">
        <v>31</v>
      </c>
      <c r="I10" s="1203">
        <v>20</v>
      </c>
      <c r="J10" s="1204">
        <v>31</v>
      </c>
      <c r="K10" s="1287"/>
      <c r="L10" s="1287"/>
      <c r="M10" s="1288">
        <v>31</v>
      </c>
      <c r="N10" s="1001">
        <f aca="true" t="shared" si="0" ref="N10:O21">T10</f>
        <v>31</v>
      </c>
      <c r="O10" s="1289">
        <f t="shared" si="0"/>
        <v>34</v>
      </c>
      <c r="P10" s="1290"/>
      <c r="Q10" s="1287" t="s">
        <v>521</v>
      </c>
      <c r="R10" s="1291" t="s">
        <v>521</v>
      </c>
      <c r="S10" s="1068"/>
      <c r="T10" s="1292">
        <v>31</v>
      </c>
      <c r="U10" s="1203">
        <v>34</v>
      </c>
      <c r="V10" s="1204"/>
    </row>
    <row r="11" spans="1:22" ht="12.75">
      <c r="A11" s="1293" t="s">
        <v>523</v>
      </c>
      <c r="B11" s="1205" t="s">
        <v>524</v>
      </c>
      <c r="C11" s="501">
        <v>37915</v>
      </c>
      <c r="D11" s="501">
        <v>39774</v>
      </c>
      <c r="E11" s="1206" t="s">
        <v>525</v>
      </c>
      <c r="F11" s="1207">
        <v>7222</v>
      </c>
      <c r="G11" s="1207">
        <v>7967</v>
      </c>
      <c r="H11" s="1207">
        <v>8446</v>
      </c>
      <c r="I11" s="1208">
        <v>9366</v>
      </c>
      <c r="J11" s="1209">
        <v>9946</v>
      </c>
      <c r="K11" s="1294" t="s">
        <v>521</v>
      </c>
      <c r="L11" s="1294" t="s">
        <v>521</v>
      </c>
      <c r="M11" s="1295">
        <v>9966</v>
      </c>
      <c r="N11" s="1064">
        <f t="shared" si="0"/>
        <v>10188</v>
      </c>
      <c r="O11" s="1296">
        <f t="shared" si="0"/>
        <v>10618</v>
      </c>
      <c r="P11" s="1297"/>
      <c r="Q11" s="1209" t="s">
        <v>521</v>
      </c>
      <c r="R11" s="1298" t="s">
        <v>521</v>
      </c>
      <c r="S11" s="1068"/>
      <c r="T11" s="1226">
        <v>10188</v>
      </c>
      <c r="U11" s="1208">
        <v>10618</v>
      </c>
      <c r="V11" s="1209"/>
    </row>
    <row r="12" spans="1:22" ht="12.75">
      <c r="A12" s="1299" t="s">
        <v>526</v>
      </c>
      <c r="B12" s="1210" t="s">
        <v>527</v>
      </c>
      <c r="C12" s="491">
        <v>-16164</v>
      </c>
      <c r="D12" s="491">
        <v>-17825</v>
      </c>
      <c r="E12" s="1206" t="s">
        <v>528</v>
      </c>
      <c r="F12" s="1207">
        <v>-6890</v>
      </c>
      <c r="G12" s="1207">
        <v>-7363</v>
      </c>
      <c r="H12" s="1207">
        <v>8049</v>
      </c>
      <c r="I12" s="1208">
        <v>9072</v>
      </c>
      <c r="J12" s="1209">
        <v>9747</v>
      </c>
      <c r="K12" s="1300" t="s">
        <v>521</v>
      </c>
      <c r="L12" s="1300" t="s">
        <v>521</v>
      </c>
      <c r="M12" s="1301">
        <v>9787</v>
      </c>
      <c r="N12" s="1077">
        <f t="shared" si="0"/>
        <v>10028</v>
      </c>
      <c r="O12" s="1302">
        <f t="shared" si="0"/>
        <v>10291</v>
      </c>
      <c r="P12" s="1303"/>
      <c r="Q12" s="1209" t="s">
        <v>521</v>
      </c>
      <c r="R12" s="1298" t="s">
        <v>521</v>
      </c>
      <c r="S12" s="1068"/>
      <c r="T12" s="1207">
        <v>10028</v>
      </c>
      <c r="U12" s="1208">
        <v>10291</v>
      </c>
      <c r="V12" s="1209"/>
    </row>
    <row r="13" spans="1:22" ht="12.75">
      <c r="A13" s="1299" t="s">
        <v>529</v>
      </c>
      <c r="B13" s="1210" t="s">
        <v>679</v>
      </c>
      <c r="C13" s="491">
        <v>604</v>
      </c>
      <c r="D13" s="491">
        <v>619</v>
      </c>
      <c r="E13" s="1206" t="s">
        <v>531</v>
      </c>
      <c r="F13" s="1207">
        <v>511</v>
      </c>
      <c r="G13" s="1207">
        <v>476</v>
      </c>
      <c r="H13" s="1207">
        <v>323</v>
      </c>
      <c r="I13" s="1208">
        <v>177</v>
      </c>
      <c r="J13" s="1209">
        <v>135</v>
      </c>
      <c r="K13" s="1300" t="s">
        <v>521</v>
      </c>
      <c r="L13" s="1300" t="s">
        <v>521</v>
      </c>
      <c r="M13" s="1301">
        <v>184</v>
      </c>
      <c r="N13" s="1077">
        <f t="shared" si="0"/>
        <v>131</v>
      </c>
      <c r="O13" s="1302">
        <f t="shared" si="0"/>
        <v>219</v>
      </c>
      <c r="P13" s="1303"/>
      <c r="Q13" s="1209" t="s">
        <v>521</v>
      </c>
      <c r="R13" s="1298" t="s">
        <v>521</v>
      </c>
      <c r="S13" s="1068"/>
      <c r="T13" s="1207">
        <v>131</v>
      </c>
      <c r="U13" s="1208">
        <v>219</v>
      </c>
      <c r="V13" s="1209"/>
    </row>
    <row r="14" spans="1:22" ht="12.75">
      <c r="A14" s="1299" t="s">
        <v>532</v>
      </c>
      <c r="B14" s="1210" t="s">
        <v>680</v>
      </c>
      <c r="C14" s="491">
        <v>221</v>
      </c>
      <c r="D14" s="491">
        <v>610</v>
      </c>
      <c r="E14" s="1206" t="s">
        <v>521</v>
      </c>
      <c r="F14" s="1207">
        <v>907</v>
      </c>
      <c r="G14" s="1207">
        <v>1398</v>
      </c>
      <c r="H14" s="1207">
        <v>962</v>
      </c>
      <c r="I14" s="1208">
        <v>470</v>
      </c>
      <c r="J14" s="1209">
        <v>494</v>
      </c>
      <c r="K14" s="1300" t="s">
        <v>521</v>
      </c>
      <c r="L14" s="1300" t="s">
        <v>521</v>
      </c>
      <c r="M14" s="1301">
        <v>3303</v>
      </c>
      <c r="N14" s="1077">
        <f t="shared" si="0"/>
        <v>2568</v>
      </c>
      <c r="O14" s="1302">
        <f t="shared" si="0"/>
        <v>1179</v>
      </c>
      <c r="P14" s="1303"/>
      <c r="Q14" s="1209" t="s">
        <v>521</v>
      </c>
      <c r="R14" s="1298" t="s">
        <v>521</v>
      </c>
      <c r="S14" s="1068"/>
      <c r="T14" s="1207">
        <v>2568</v>
      </c>
      <c r="U14" s="1208">
        <v>1179</v>
      </c>
      <c r="V14" s="1209"/>
    </row>
    <row r="15" spans="1:22" ht="13.5" thickBot="1">
      <c r="A15" s="1279" t="s">
        <v>534</v>
      </c>
      <c r="B15" s="1211" t="s">
        <v>681</v>
      </c>
      <c r="C15" s="1212">
        <v>2021</v>
      </c>
      <c r="D15" s="1212">
        <v>852</v>
      </c>
      <c r="E15" s="1213" t="s">
        <v>536</v>
      </c>
      <c r="F15" s="1214">
        <v>1671</v>
      </c>
      <c r="G15" s="1214">
        <v>975</v>
      </c>
      <c r="H15" s="1214">
        <v>1677</v>
      </c>
      <c r="I15" s="1215">
        <v>2159</v>
      </c>
      <c r="J15" s="1216">
        <v>2740</v>
      </c>
      <c r="K15" s="1304" t="s">
        <v>521</v>
      </c>
      <c r="L15" s="1304" t="s">
        <v>521</v>
      </c>
      <c r="M15" s="1305">
        <v>3926</v>
      </c>
      <c r="N15" s="1079">
        <f t="shared" si="0"/>
        <v>4675</v>
      </c>
      <c r="O15" s="1306">
        <f t="shared" si="0"/>
        <v>2865</v>
      </c>
      <c r="P15" s="1307"/>
      <c r="Q15" s="1216" t="s">
        <v>521</v>
      </c>
      <c r="R15" s="1285" t="s">
        <v>521</v>
      </c>
      <c r="S15" s="1068"/>
      <c r="T15" s="1202">
        <v>4675</v>
      </c>
      <c r="U15" s="1215">
        <v>2865</v>
      </c>
      <c r="V15" s="1216"/>
    </row>
    <row r="16" spans="1:22" ht="15" thickBot="1">
      <c r="A16" s="1308" t="s">
        <v>537</v>
      </c>
      <c r="B16" s="1217"/>
      <c r="C16" s="507">
        <v>24618</v>
      </c>
      <c r="D16" s="507">
        <v>24087</v>
      </c>
      <c r="E16" s="1218"/>
      <c r="F16" s="1157">
        <v>3421</v>
      </c>
      <c r="G16" s="1157">
        <v>3453</v>
      </c>
      <c r="H16" s="1157">
        <f>H11-H12+H13+H14+H15</f>
        <v>3359</v>
      </c>
      <c r="I16" s="1157">
        <f>I11-I12+I13+I14+I15</f>
        <v>3100</v>
      </c>
      <c r="J16" s="1219">
        <f>J11-J12+J13+J14+J15</f>
        <v>3568</v>
      </c>
      <c r="K16" s="1081" t="s">
        <v>521</v>
      </c>
      <c r="L16" s="1081" t="s">
        <v>521</v>
      </c>
      <c r="M16" s="1309">
        <f>M11-M12+M13+M14+M15</f>
        <v>7592</v>
      </c>
      <c r="N16" s="1309">
        <f>N11-N12+N13+N14+N15</f>
        <v>7534</v>
      </c>
      <c r="O16" s="1219">
        <f>O11-O12+O13+O14+O15</f>
        <v>4590</v>
      </c>
      <c r="P16" s="1310"/>
      <c r="Q16" s="1311" t="s">
        <v>521</v>
      </c>
      <c r="R16" s="1312" t="s">
        <v>521</v>
      </c>
      <c r="S16" s="1068"/>
      <c r="T16" s="1219">
        <f>T11-T12+T13+T14+T15</f>
        <v>7534</v>
      </c>
      <c r="U16" s="1219">
        <f>U11-U12+U13+U14+U15</f>
        <v>4590</v>
      </c>
      <c r="V16" s="1219">
        <f>V11-V12+V13+V14+V15</f>
        <v>0</v>
      </c>
    </row>
    <row r="17" spans="1:22" ht="12.75">
      <c r="A17" s="1279" t="s">
        <v>538</v>
      </c>
      <c r="B17" s="1205" t="s">
        <v>539</v>
      </c>
      <c r="C17" s="501">
        <v>7043</v>
      </c>
      <c r="D17" s="501">
        <v>7240</v>
      </c>
      <c r="E17" s="1213">
        <v>401</v>
      </c>
      <c r="F17" s="1214">
        <v>413</v>
      </c>
      <c r="G17" s="1214">
        <v>685</v>
      </c>
      <c r="H17" s="1214">
        <v>479</v>
      </c>
      <c r="I17" s="1215">
        <v>375</v>
      </c>
      <c r="J17" s="1216">
        <v>280</v>
      </c>
      <c r="K17" s="1294" t="s">
        <v>521</v>
      </c>
      <c r="L17" s="1294" t="s">
        <v>521</v>
      </c>
      <c r="M17" s="1305">
        <v>261</v>
      </c>
      <c r="N17" s="1010">
        <f t="shared" si="0"/>
        <v>242</v>
      </c>
      <c r="O17" s="1313">
        <f>U17</f>
        <v>408</v>
      </c>
      <c r="P17" s="1296"/>
      <c r="Q17" s="1216" t="s">
        <v>521</v>
      </c>
      <c r="R17" s="1285" t="s">
        <v>521</v>
      </c>
      <c r="S17" s="1068"/>
      <c r="T17" s="1314">
        <v>242</v>
      </c>
      <c r="U17" s="1215">
        <v>408</v>
      </c>
      <c r="V17" s="1216"/>
    </row>
    <row r="18" spans="1:22" ht="12.75">
      <c r="A18" s="1299" t="s">
        <v>540</v>
      </c>
      <c r="B18" s="1210" t="s">
        <v>541</v>
      </c>
      <c r="C18" s="491">
        <v>1001</v>
      </c>
      <c r="D18" s="491">
        <v>820</v>
      </c>
      <c r="E18" s="1206" t="s">
        <v>542</v>
      </c>
      <c r="F18" s="1207">
        <v>781</v>
      </c>
      <c r="G18" s="1207">
        <v>349</v>
      </c>
      <c r="H18" s="1207">
        <v>835</v>
      </c>
      <c r="I18" s="1208">
        <v>704</v>
      </c>
      <c r="J18" s="1209">
        <v>1212</v>
      </c>
      <c r="K18" s="1300" t="s">
        <v>521</v>
      </c>
      <c r="L18" s="1300" t="s">
        <v>521</v>
      </c>
      <c r="M18" s="1301">
        <v>1121</v>
      </c>
      <c r="N18" s="992">
        <f t="shared" si="0"/>
        <v>1069</v>
      </c>
      <c r="O18" s="1313">
        <f>U18</f>
        <v>911</v>
      </c>
      <c r="P18" s="1302"/>
      <c r="Q18" s="1209" t="s">
        <v>521</v>
      </c>
      <c r="R18" s="1298" t="s">
        <v>521</v>
      </c>
      <c r="S18" s="1068"/>
      <c r="T18" s="1315">
        <v>1069</v>
      </c>
      <c r="U18" s="1208">
        <v>911</v>
      </c>
      <c r="V18" s="1209"/>
    </row>
    <row r="19" spans="1:22" ht="12.75">
      <c r="A19" s="1299" t="s">
        <v>543</v>
      </c>
      <c r="B19" s="1210" t="s">
        <v>682</v>
      </c>
      <c r="C19" s="491">
        <v>14718</v>
      </c>
      <c r="D19" s="491">
        <v>14718</v>
      </c>
      <c r="E19" s="1206" t="s">
        <v>521</v>
      </c>
      <c r="F19" s="1207">
        <v>0</v>
      </c>
      <c r="G19" s="1207">
        <v>0</v>
      </c>
      <c r="H19" s="1207">
        <v>0</v>
      </c>
      <c r="I19" s="1208">
        <v>0</v>
      </c>
      <c r="J19" s="1209">
        <v>0</v>
      </c>
      <c r="K19" s="1300" t="s">
        <v>521</v>
      </c>
      <c r="L19" s="1300" t="s">
        <v>521</v>
      </c>
      <c r="M19" s="1301">
        <v>0</v>
      </c>
      <c r="N19" s="992">
        <f t="shared" si="0"/>
        <v>0</v>
      </c>
      <c r="O19" s="1313">
        <f>U19</f>
        <v>0</v>
      </c>
      <c r="P19" s="1302"/>
      <c r="Q19" s="1209" t="s">
        <v>521</v>
      </c>
      <c r="R19" s="1298" t="s">
        <v>521</v>
      </c>
      <c r="S19" s="1068"/>
      <c r="T19" s="1315">
        <v>0</v>
      </c>
      <c r="U19" s="1208">
        <v>0</v>
      </c>
      <c r="V19" s="1209"/>
    </row>
    <row r="20" spans="1:22" ht="12.75">
      <c r="A20" s="1299" t="s">
        <v>545</v>
      </c>
      <c r="B20" s="1210" t="s">
        <v>544</v>
      </c>
      <c r="C20" s="491">
        <v>1758</v>
      </c>
      <c r="D20" s="491">
        <v>1762</v>
      </c>
      <c r="E20" s="1206" t="s">
        <v>521</v>
      </c>
      <c r="F20" s="1207">
        <v>1685</v>
      </c>
      <c r="G20" s="1207">
        <v>1849</v>
      </c>
      <c r="H20" s="1207">
        <v>1975</v>
      </c>
      <c r="I20" s="1208">
        <v>1876</v>
      </c>
      <c r="J20" s="1209">
        <v>1894</v>
      </c>
      <c r="K20" s="1300" t="s">
        <v>521</v>
      </c>
      <c r="L20" s="1300" t="s">
        <v>521</v>
      </c>
      <c r="M20" s="1301">
        <v>6027</v>
      </c>
      <c r="N20" s="992">
        <f t="shared" si="0"/>
        <v>6223</v>
      </c>
      <c r="O20" s="1313">
        <f>U20</f>
        <v>3268</v>
      </c>
      <c r="P20" s="1302"/>
      <c r="Q20" s="1209" t="s">
        <v>521</v>
      </c>
      <c r="R20" s="1298" t="s">
        <v>521</v>
      </c>
      <c r="S20" s="1068"/>
      <c r="T20" s="1315">
        <v>6223</v>
      </c>
      <c r="U20" s="1208">
        <v>3268</v>
      </c>
      <c r="V20" s="1209"/>
    </row>
    <row r="21" spans="1:22" ht="13.5" thickBot="1">
      <c r="A21" s="1286" t="s">
        <v>547</v>
      </c>
      <c r="B21" s="1220"/>
      <c r="C21" s="1221">
        <v>0</v>
      </c>
      <c r="D21" s="1221">
        <v>0</v>
      </c>
      <c r="E21" s="1222" t="s">
        <v>521</v>
      </c>
      <c r="F21" s="1207">
        <v>0</v>
      </c>
      <c r="G21" s="1207">
        <v>0</v>
      </c>
      <c r="H21" s="1207">
        <v>0</v>
      </c>
      <c r="I21" s="1223">
        <v>0</v>
      </c>
      <c r="J21" s="1224"/>
      <c r="K21" s="1287" t="s">
        <v>521</v>
      </c>
      <c r="L21" s="1287" t="s">
        <v>521</v>
      </c>
      <c r="M21" s="1316">
        <v>0</v>
      </c>
      <c r="N21" s="1001">
        <f t="shared" si="0"/>
        <v>0</v>
      </c>
      <c r="O21" s="1313">
        <f>U21</f>
        <v>0</v>
      </c>
      <c r="P21" s="1306"/>
      <c r="Q21" s="1224" t="s">
        <v>521</v>
      </c>
      <c r="R21" s="1317" t="s">
        <v>521</v>
      </c>
      <c r="S21" s="1068"/>
      <c r="T21" s="1318">
        <v>0</v>
      </c>
      <c r="U21" s="1223">
        <v>0</v>
      </c>
      <c r="V21" s="1224"/>
    </row>
    <row r="22" spans="1:23" ht="14.25">
      <c r="A22" s="1319" t="s">
        <v>549</v>
      </c>
      <c r="B22" s="1205" t="s">
        <v>550</v>
      </c>
      <c r="C22" s="501">
        <v>12472</v>
      </c>
      <c r="D22" s="501">
        <v>13728</v>
      </c>
      <c r="E22" s="1225" t="s">
        <v>521</v>
      </c>
      <c r="F22" s="1226">
        <v>13454</v>
      </c>
      <c r="G22" s="1226">
        <v>13860</v>
      </c>
      <c r="H22" s="1226">
        <v>13442</v>
      </c>
      <c r="I22" s="1227">
        <v>14664</v>
      </c>
      <c r="J22" s="1227">
        <v>14584</v>
      </c>
      <c r="K22" s="1320">
        <f>K35</f>
        <v>14666</v>
      </c>
      <c r="L22" s="1320">
        <f>L35</f>
        <v>14666</v>
      </c>
      <c r="M22" s="1321">
        <v>3442</v>
      </c>
      <c r="N22" s="1296">
        <f>T22-M22</f>
        <v>3859</v>
      </c>
      <c r="O22" s="1296">
        <f aca="true" t="shared" si="1" ref="O22:O40">U22-T22</f>
        <v>4143</v>
      </c>
      <c r="P22" s="1322"/>
      <c r="Q22" s="1150">
        <f>SUM(M22:P22)</f>
        <v>11444</v>
      </c>
      <c r="R22" s="1138">
        <f>(Q22/L22)*100</f>
        <v>78.0308195827083</v>
      </c>
      <c r="S22" s="1068"/>
      <c r="T22" s="1226">
        <v>7301</v>
      </c>
      <c r="U22" s="1323">
        <v>11444</v>
      </c>
      <c r="V22" s="1227"/>
      <c r="W22" s="114"/>
    </row>
    <row r="23" spans="1:22" ht="14.25">
      <c r="A23" s="1299" t="s">
        <v>551</v>
      </c>
      <c r="B23" s="1210" t="s">
        <v>552</v>
      </c>
      <c r="C23" s="491">
        <v>0</v>
      </c>
      <c r="D23" s="491">
        <v>0</v>
      </c>
      <c r="E23" s="1228" t="s">
        <v>521</v>
      </c>
      <c r="F23" s="1207"/>
      <c r="G23" s="1207"/>
      <c r="H23" s="1207"/>
      <c r="I23" s="1229"/>
      <c r="J23" s="1229"/>
      <c r="K23" s="1324"/>
      <c r="L23" s="1325"/>
      <c r="M23" s="1324"/>
      <c r="N23" s="1326">
        <f aca="true" t="shared" si="2" ref="N23:N40">T23-M23</f>
        <v>0</v>
      </c>
      <c r="O23" s="1326">
        <f t="shared" si="1"/>
        <v>0</v>
      </c>
      <c r="P23" s="1327"/>
      <c r="Q23" s="1184">
        <f aca="true" t="shared" si="3" ref="Q23:Q45">SUM(M23:P23)</f>
        <v>0</v>
      </c>
      <c r="R23" s="1185" t="e">
        <f aca="true" t="shared" si="4" ref="R23:R45">(Q23/L23)*100</f>
        <v>#DIV/0!</v>
      </c>
      <c r="S23" s="1068"/>
      <c r="T23" s="1207">
        <v>0</v>
      </c>
      <c r="U23" s="1328">
        <v>0</v>
      </c>
      <c r="V23" s="1229"/>
    </row>
    <row r="24" spans="1:22" ht="15" thickBot="1">
      <c r="A24" s="1286" t="s">
        <v>553</v>
      </c>
      <c r="B24" s="1220" t="s">
        <v>552</v>
      </c>
      <c r="C24" s="1221">
        <v>0</v>
      </c>
      <c r="D24" s="1221">
        <v>1215</v>
      </c>
      <c r="E24" s="1230">
        <v>672</v>
      </c>
      <c r="F24" s="1231">
        <v>2805</v>
      </c>
      <c r="G24" s="1231">
        <v>3030</v>
      </c>
      <c r="H24" s="1231">
        <v>3000</v>
      </c>
      <c r="I24" s="1232">
        <v>3400</v>
      </c>
      <c r="J24" s="1232">
        <v>3450</v>
      </c>
      <c r="K24" s="1329">
        <f>K25+K26+K28+K29</f>
        <v>3500</v>
      </c>
      <c r="L24" s="1329">
        <f>L25+L26+L28+L29</f>
        <v>3500</v>
      </c>
      <c r="M24" s="1330">
        <v>687</v>
      </c>
      <c r="N24" s="1331">
        <f t="shared" si="2"/>
        <v>1065</v>
      </c>
      <c r="O24" s="1331">
        <f t="shared" si="1"/>
        <v>876</v>
      </c>
      <c r="P24" s="1332"/>
      <c r="Q24" s="1154">
        <f t="shared" si="3"/>
        <v>2628</v>
      </c>
      <c r="R24" s="1145">
        <f t="shared" si="4"/>
        <v>75.08571428571429</v>
      </c>
      <c r="S24" s="1068"/>
      <c r="T24" s="1202">
        <v>1752</v>
      </c>
      <c r="U24" s="1333">
        <v>2628</v>
      </c>
      <c r="V24" s="1232"/>
    </row>
    <row r="25" spans="1:22" ht="14.25">
      <c r="A25" s="1293" t="s">
        <v>554</v>
      </c>
      <c r="B25" s="1233" t="s">
        <v>683</v>
      </c>
      <c r="C25" s="501">
        <v>6341</v>
      </c>
      <c r="D25" s="501">
        <v>6960</v>
      </c>
      <c r="E25" s="1234">
        <v>501</v>
      </c>
      <c r="F25" s="1207">
        <v>3042</v>
      </c>
      <c r="G25" s="1207">
        <v>2862</v>
      </c>
      <c r="H25" s="1207">
        <v>2431</v>
      </c>
      <c r="I25" s="1235">
        <v>3440</v>
      </c>
      <c r="J25" s="1235">
        <v>2922</v>
      </c>
      <c r="K25" s="1320">
        <v>900</v>
      </c>
      <c r="L25" s="1320">
        <v>900</v>
      </c>
      <c r="M25" s="1320">
        <v>569</v>
      </c>
      <c r="N25" s="1296">
        <f t="shared" si="2"/>
        <v>871</v>
      </c>
      <c r="O25" s="1296">
        <f t="shared" si="1"/>
        <v>873</v>
      </c>
      <c r="P25" s="1322"/>
      <c r="Q25" s="1172">
        <f t="shared" si="3"/>
        <v>2313</v>
      </c>
      <c r="R25" s="1138">
        <f t="shared" si="4"/>
        <v>257</v>
      </c>
      <c r="S25" s="1068"/>
      <c r="T25" s="1244">
        <v>1440</v>
      </c>
      <c r="U25" s="1334">
        <v>2313</v>
      </c>
      <c r="V25" s="1235"/>
    </row>
    <row r="26" spans="1:22" ht="14.25">
      <c r="A26" s="1299" t="s">
        <v>556</v>
      </c>
      <c r="B26" s="1236" t="s">
        <v>684</v>
      </c>
      <c r="C26" s="491">
        <v>1745</v>
      </c>
      <c r="D26" s="491">
        <v>2223</v>
      </c>
      <c r="E26" s="1237">
        <v>502</v>
      </c>
      <c r="F26" s="1207">
        <v>812</v>
      </c>
      <c r="G26" s="1207">
        <v>951</v>
      </c>
      <c r="H26" s="1207">
        <v>1318</v>
      </c>
      <c r="I26" s="1229">
        <v>1425</v>
      </c>
      <c r="J26" s="1229">
        <v>1283</v>
      </c>
      <c r="K26" s="1324">
        <v>1600</v>
      </c>
      <c r="L26" s="1324">
        <v>1600</v>
      </c>
      <c r="M26" s="1324">
        <v>485</v>
      </c>
      <c r="N26" s="1326">
        <f t="shared" si="2"/>
        <v>281</v>
      </c>
      <c r="O26" s="1326">
        <f t="shared" si="1"/>
        <v>158</v>
      </c>
      <c r="P26" s="1327"/>
      <c r="Q26" s="1152">
        <f t="shared" si="3"/>
        <v>924</v>
      </c>
      <c r="R26" s="1141">
        <f t="shared" si="4"/>
        <v>57.75</v>
      </c>
      <c r="S26" s="1068"/>
      <c r="T26" s="1207">
        <v>766</v>
      </c>
      <c r="U26" s="1328">
        <v>924</v>
      </c>
      <c r="V26" s="1229"/>
    </row>
    <row r="27" spans="1:22" ht="14.25">
      <c r="A27" s="1299" t="s">
        <v>558</v>
      </c>
      <c r="B27" s="1236" t="s">
        <v>685</v>
      </c>
      <c r="C27" s="491">
        <v>0</v>
      </c>
      <c r="D27" s="491">
        <v>0</v>
      </c>
      <c r="E27" s="1237">
        <v>504</v>
      </c>
      <c r="F27" s="1207">
        <v>80</v>
      </c>
      <c r="G27" s="1207">
        <v>26</v>
      </c>
      <c r="H27" s="1207">
        <v>0</v>
      </c>
      <c r="I27" s="1229">
        <v>14</v>
      </c>
      <c r="J27" s="1229">
        <v>14</v>
      </c>
      <c r="K27" s="1324">
        <v>0</v>
      </c>
      <c r="L27" s="1324">
        <v>0</v>
      </c>
      <c r="M27" s="1324">
        <v>3</v>
      </c>
      <c r="N27" s="1326">
        <f t="shared" si="2"/>
        <v>0</v>
      </c>
      <c r="O27" s="1326">
        <f t="shared" si="1"/>
        <v>1</v>
      </c>
      <c r="P27" s="1327"/>
      <c r="Q27" s="1152">
        <f t="shared" si="3"/>
        <v>4</v>
      </c>
      <c r="R27" s="1141" t="e">
        <f t="shared" si="4"/>
        <v>#DIV/0!</v>
      </c>
      <c r="S27" s="1068"/>
      <c r="T27" s="1207">
        <v>3</v>
      </c>
      <c r="U27" s="1328">
        <v>4</v>
      </c>
      <c r="V27" s="1229"/>
    </row>
    <row r="28" spans="1:22" ht="14.25">
      <c r="A28" s="1299" t="s">
        <v>560</v>
      </c>
      <c r="B28" s="1236" t="s">
        <v>686</v>
      </c>
      <c r="C28" s="491">
        <v>428</v>
      </c>
      <c r="D28" s="491">
        <v>253</v>
      </c>
      <c r="E28" s="1237">
        <v>511</v>
      </c>
      <c r="F28" s="1207">
        <v>300</v>
      </c>
      <c r="G28" s="1207">
        <v>676</v>
      </c>
      <c r="H28" s="1207">
        <v>375</v>
      </c>
      <c r="I28" s="1229">
        <v>197</v>
      </c>
      <c r="J28" s="1229">
        <v>540</v>
      </c>
      <c r="K28" s="1324">
        <v>500</v>
      </c>
      <c r="L28" s="1324">
        <v>500</v>
      </c>
      <c r="M28" s="1324">
        <v>77</v>
      </c>
      <c r="N28" s="1326">
        <f t="shared" si="2"/>
        <v>87</v>
      </c>
      <c r="O28" s="1326">
        <f t="shared" si="1"/>
        <v>243</v>
      </c>
      <c r="P28" s="1327"/>
      <c r="Q28" s="1152">
        <f t="shared" si="3"/>
        <v>407</v>
      </c>
      <c r="R28" s="1141">
        <f t="shared" si="4"/>
        <v>81.39999999999999</v>
      </c>
      <c r="S28" s="1068"/>
      <c r="T28" s="1207">
        <v>164</v>
      </c>
      <c r="U28" s="1328">
        <v>407</v>
      </c>
      <c r="V28" s="1229"/>
    </row>
    <row r="29" spans="1:22" ht="15">
      <c r="A29" s="1299" t="s">
        <v>562</v>
      </c>
      <c r="B29" s="1236" t="s">
        <v>687</v>
      </c>
      <c r="C29" s="491">
        <v>1057</v>
      </c>
      <c r="D29" s="491">
        <v>1451</v>
      </c>
      <c r="E29" s="1237">
        <v>518</v>
      </c>
      <c r="F29" s="1207">
        <v>497</v>
      </c>
      <c r="G29" s="1207">
        <v>585</v>
      </c>
      <c r="H29" s="1207">
        <v>465</v>
      </c>
      <c r="I29" s="1229">
        <v>713</v>
      </c>
      <c r="J29" s="1229">
        <v>464</v>
      </c>
      <c r="K29" s="1324">
        <v>500</v>
      </c>
      <c r="L29" s="1324">
        <v>500</v>
      </c>
      <c r="M29" s="1324">
        <v>86</v>
      </c>
      <c r="N29" s="1326">
        <f t="shared" si="2"/>
        <v>210</v>
      </c>
      <c r="O29" s="1326">
        <f t="shared" si="1"/>
        <v>252</v>
      </c>
      <c r="P29" s="1327"/>
      <c r="Q29" s="1152">
        <f t="shared" si="3"/>
        <v>548</v>
      </c>
      <c r="R29" s="1141">
        <f t="shared" si="4"/>
        <v>109.60000000000001</v>
      </c>
      <c r="S29" s="1068"/>
      <c r="T29" s="1207">
        <v>296</v>
      </c>
      <c r="U29" s="1328">
        <v>548</v>
      </c>
      <c r="V29" s="1229"/>
    </row>
    <row r="30" spans="1:22" ht="15">
      <c r="A30" s="1299" t="s">
        <v>564</v>
      </c>
      <c r="B30" s="1238" t="s">
        <v>688</v>
      </c>
      <c r="C30" s="491">
        <v>10408</v>
      </c>
      <c r="D30" s="491">
        <v>11792</v>
      </c>
      <c r="E30" s="1237">
        <v>521</v>
      </c>
      <c r="F30" s="1207">
        <v>7861</v>
      </c>
      <c r="G30" s="1207">
        <v>7950</v>
      </c>
      <c r="H30" s="1207">
        <v>7842</v>
      </c>
      <c r="I30" s="1229">
        <v>7959</v>
      </c>
      <c r="J30" s="1229">
        <v>8264</v>
      </c>
      <c r="K30" s="1324">
        <v>8063</v>
      </c>
      <c r="L30" s="1324">
        <v>8063</v>
      </c>
      <c r="M30" s="1324">
        <v>2094</v>
      </c>
      <c r="N30" s="1326">
        <f t="shared" si="2"/>
        <v>2281</v>
      </c>
      <c r="O30" s="1326">
        <f t="shared" si="1"/>
        <v>2133</v>
      </c>
      <c r="P30" s="1327"/>
      <c r="Q30" s="1152">
        <f t="shared" si="3"/>
        <v>6508</v>
      </c>
      <c r="R30" s="1141">
        <f t="shared" si="4"/>
        <v>80.71437430236884</v>
      </c>
      <c r="S30" s="1068"/>
      <c r="T30" s="1207">
        <v>4375</v>
      </c>
      <c r="U30" s="1328">
        <v>6508</v>
      </c>
      <c r="V30" s="1229"/>
    </row>
    <row r="31" spans="1:22" ht="15">
      <c r="A31" s="1299" t="s">
        <v>566</v>
      </c>
      <c r="B31" s="1238" t="s">
        <v>689</v>
      </c>
      <c r="C31" s="491">
        <v>3640</v>
      </c>
      <c r="D31" s="491">
        <v>4174</v>
      </c>
      <c r="E31" s="1237" t="s">
        <v>568</v>
      </c>
      <c r="F31" s="1207">
        <v>2897</v>
      </c>
      <c r="G31" s="1207">
        <v>2910</v>
      </c>
      <c r="H31" s="1207">
        <v>2905</v>
      </c>
      <c r="I31" s="1229">
        <v>2848</v>
      </c>
      <c r="J31" s="1229">
        <v>2916</v>
      </c>
      <c r="K31" s="1324">
        <v>2821</v>
      </c>
      <c r="L31" s="1324">
        <v>2821</v>
      </c>
      <c r="M31" s="1324">
        <v>718</v>
      </c>
      <c r="N31" s="1326">
        <f t="shared" si="2"/>
        <v>758</v>
      </c>
      <c r="O31" s="1326">
        <f t="shared" si="1"/>
        <v>759</v>
      </c>
      <c r="P31" s="1327"/>
      <c r="Q31" s="1152">
        <f t="shared" si="3"/>
        <v>2235</v>
      </c>
      <c r="R31" s="1141">
        <f t="shared" si="4"/>
        <v>79.22722438851471</v>
      </c>
      <c r="S31" s="1068"/>
      <c r="T31" s="1207">
        <v>1476</v>
      </c>
      <c r="U31" s="1328">
        <v>2235</v>
      </c>
      <c r="V31" s="1229"/>
    </row>
    <row r="32" spans="1:22" ht="15">
      <c r="A32" s="1299" t="s">
        <v>569</v>
      </c>
      <c r="B32" s="1236" t="s">
        <v>690</v>
      </c>
      <c r="C32" s="491">
        <v>0</v>
      </c>
      <c r="D32" s="491">
        <v>0</v>
      </c>
      <c r="E32" s="1237">
        <v>557</v>
      </c>
      <c r="F32" s="1207">
        <v>0</v>
      </c>
      <c r="G32" s="1207">
        <v>0</v>
      </c>
      <c r="H32" s="1207">
        <v>0</v>
      </c>
      <c r="I32" s="1229">
        <v>0</v>
      </c>
      <c r="J32" s="1229"/>
      <c r="K32" s="1324"/>
      <c r="L32" s="1324"/>
      <c r="M32" s="1324">
        <v>0</v>
      </c>
      <c r="N32" s="1326">
        <f t="shared" si="2"/>
        <v>0</v>
      </c>
      <c r="O32" s="1326">
        <f t="shared" si="1"/>
        <v>0</v>
      </c>
      <c r="P32" s="1327"/>
      <c r="Q32" s="1152">
        <f t="shared" si="3"/>
        <v>0</v>
      </c>
      <c r="R32" s="1141" t="e">
        <f t="shared" si="4"/>
        <v>#DIV/0!</v>
      </c>
      <c r="S32" s="1068"/>
      <c r="T32" s="1207">
        <v>0</v>
      </c>
      <c r="U32" s="1328">
        <v>0</v>
      </c>
      <c r="V32" s="1229"/>
    </row>
    <row r="33" spans="1:22" ht="15">
      <c r="A33" s="1299" t="s">
        <v>571</v>
      </c>
      <c r="B33" s="1236" t="s">
        <v>691</v>
      </c>
      <c r="C33" s="491">
        <v>1711</v>
      </c>
      <c r="D33" s="491">
        <v>1801</v>
      </c>
      <c r="E33" s="1237">
        <v>551</v>
      </c>
      <c r="F33" s="1207">
        <v>73</v>
      </c>
      <c r="G33" s="1207">
        <v>97</v>
      </c>
      <c r="H33" s="1207">
        <v>103</v>
      </c>
      <c r="I33" s="1229">
        <v>103</v>
      </c>
      <c r="J33" s="1229">
        <v>95</v>
      </c>
      <c r="K33" s="1324"/>
      <c r="L33" s="1324"/>
      <c r="M33" s="1324">
        <v>20</v>
      </c>
      <c r="N33" s="1326">
        <f t="shared" si="2"/>
        <v>19</v>
      </c>
      <c r="O33" s="1326">
        <f t="shared" si="1"/>
        <v>18</v>
      </c>
      <c r="P33" s="1327"/>
      <c r="Q33" s="1152">
        <f t="shared" si="3"/>
        <v>57</v>
      </c>
      <c r="R33" s="1141" t="e">
        <f t="shared" si="4"/>
        <v>#DIV/0!</v>
      </c>
      <c r="S33" s="1068"/>
      <c r="T33" s="1207">
        <v>39</v>
      </c>
      <c r="U33" s="1328">
        <v>57</v>
      </c>
      <c r="V33" s="1229"/>
    </row>
    <row r="34" spans="1:22" ht="15.75" thickBot="1">
      <c r="A34" s="1279" t="s">
        <v>573</v>
      </c>
      <c r="B34" s="1239" t="s">
        <v>692</v>
      </c>
      <c r="C34" s="1212">
        <v>569</v>
      </c>
      <c r="D34" s="1212">
        <v>614</v>
      </c>
      <c r="E34" s="1240" t="s">
        <v>574</v>
      </c>
      <c r="F34" s="1214">
        <v>449</v>
      </c>
      <c r="G34" s="1214">
        <v>210</v>
      </c>
      <c r="H34" s="1214">
        <v>221</v>
      </c>
      <c r="I34" s="1241">
        <v>173</v>
      </c>
      <c r="J34" s="1241">
        <v>96</v>
      </c>
      <c r="K34" s="1335">
        <v>282</v>
      </c>
      <c r="L34" s="1335">
        <v>282</v>
      </c>
      <c r="M34" s="1336">
        <v>24</v>
      </c>
      <c r="N34" s="1331">
        <f t="shared" si="2"/>
        <v>20</v>
      </c>
      <c r="O34" s="1331">
        <f t="shared" si="1"/>
        <v>11</v>
      </c>
      <c r="P34" s="1332"/>
      <c r="Q34" s="1167">
        <f t="shared" si="3"/>
        <v>55</v>
      </c>
      <c r="R34" s="1145">
        <f t="shared" si="4"/>
        <v>19.50354609929078</v>
      </c>
      <c r="S34" s="1068"/>
      <c r="T34" s="1292">
        <v>44</v>
      </c>
      <c r="U34" s="1337">
        <v>55</v>
      </c>
      <c r="V34" s="1241"/>
    </row>
    <row r="35" spans="1:22" ht="15.75" thickBot="1">
      <c r="A35" s="1338" t="s">
        <v>575</v>
      </c>
      <c r="B35" s="1242" t="s">
        <v>576</v>
      </c>
      <c r="C35" s="534">
        <f>SUM(C25:C34)</f>
        <v>25899</v>
      </c>
      <c r="D35" s="534">
        <f>SUM(D25:D34)</f>
        <v>29268</v>
      </c>
      <c r="E35" s="1243"/>
      <c r="F35" s="1157">
        <f aca="true" t="shared" si="5" ref="F35:O35">SUM(F25:F34)</f>
        <v>16011</v>
      </c>
      <c r="G35" s="1157">
        <f t="shared" si="5"/>
        <v>16267</v>
      </c>
      <c r="H35" s="1157">
        <f t="shared" si="5"/>
        <v>15660</v>
      </c>
      <c r="I35" s="1157">
        <f t="shared" si="5"/>
        <v>16872</v>
      </c>
      <c r="J35" s="1157">
        <f>SUM(J25:J34)</f>
        <v>16594</v>
      </c>
      <c r="K35" s="1339">
        <f t="shared" si="5"/>
        <v>14666</v>
      </c>
      <c r="L35" s="1109">
        <f t="shared" si="5"/>
        <v>14666</v>
      </c>
      <c r="M35" s="1109">
        <f t="shared" si="5"/>
        <v>4076</v>
      </c>
      <c r="N35" s="1109">
        <f t="shared" si="5"/>
        <v>4527</v>
      </c>
      <c r="O35" s="1109">
        <f t="shared" si="5"/>
        <v>4448</v>
      </c>
      <c r="P35" s="1340"/>
      <c r="Q35" s="1157">
        <f t="shared" si="3"/>
        <v>13051</v>
      </c>
      <c r="R35" s="1158">
        <f t="shared" si="4"/>
        <v>88.98813582435565</v>
      </c>
      <c r="S35" s="1068"/>
      <c r="T35" s="1157">
        <f>SUM(T25:T34)</f>
        <v>8603</v>
      </c>
      <c r="U35" s="1157">
        <f>SUM(U25:U34)</f>
        <v>13051</v>
      </c>
      <c r="V35" s="1157">
        <f>SUM(V25:V34)</f>
        <v>0</v>
      </c>
    </row>
    <row r="36" spans="1:22" ht="15">
      <c r="A36" s="1293" t="s">
        <v>577</v>
      </c>
      <c r="B36" s="1233" t="s">
        <v>693</v>
      </c>
      <c r="C36" s="501">
        <v>0</v>
      </c>
      <c r="D36" s="501">
        <v>0</v>
      </c>
      <c r="E36" s="1234">
        <v>601</v>
      </c>
      <c r="F36" s="1244">
        <v>1998</v>
      </c>
      <c r="G36" s="1244">
        <v>1958</v>
      </c>
      <c r="H36" s="1244">
        <v>2032</v>
      </c>
      <c r="I36" s="1235">
        <v>1931</v>
      </c>
      <c r="J36" s="1235">
        <v>2001</v>
      </c>
      <c r="K36" s="1320"/>
      <c r="L36" s="1341"/>
      <c r="M36" s="1321">
        <v>581</v>
      </c>
      <c r="N36" s="1342">
        <f t="shared" si="2"/>
        <v>618</v>
      </c>
      <c r="O36" s="1296">
        <f t="shared" si="1"/>
        <v>277</v>
      </c>
      <c r="P36" s="1322"/>
      <c r="Q36" s="1172">
        <f t="shared" si="3"/>
        <v>1476</v>
      </c>
      <c r="R36" s="1182" t="e">
        <f t="shared" si="4"/>
        <v>#DIV/0!</v>
      </c>
      <c r="S36" s="1068"/>
      <c r="T36" s="1244">
        <v>1199</v>
      </c>
      <c r="U36" s="1334">
        <v>1476</v>
      </c>
      <c r="V36" s="1235"/>
    </row>
    <row r="37" spans="1:22" ht="15">
      <c r="A37" s="1299" t="s">
        <v>579</v>
      </c>
      <c r="B37" s="1236" t="s">
        <v>694</v>
      </c>
      <c r="C37" s="491">
        <v>1190</v>
      </c>
      <c r="D37" s="491">
        <v>1857</v>
      </c>
      <c r="E37" s="1237">
        <v>602</v>
      </c>
      <c r="F37" s="1207">
        <v>112</v>
      </c>
      <c r="G37" s="1207">
        <v>100</v>
      </c>
      <c r="H37" s="1207">
        <v>50</v>
      </c>
      <c r="I37" s="1229">
        <v>53</v>
      </c>
      <c r="J37" s="1229">
        <v>49</v>
      </c>
      <c r="K37" s="1324"/>
      <c r="L37" s="1325"/>
      <c r="M37" s="1324">
        <v>0</v>
      </c>
      <c r="N37" s="1342">
        <f t="shared" si="2"/>
        <v>33</v>
      </c>
      <c r="O37" s="1326">
        <f t="shared" si="1"/>
        <v>0</v>
      </c>
      <c r="P37" s="1327"/>
      <c r="Q37" s="1152">
        <f t="shared" si="3"/>
        <v>33</v>
      </c>
      <c r="R37" s="1141" t="e">
        <f t="shared" si="4"/>
        <v>#DIV/0!</v>
      </c>
      <c r="S37" s="1068"/>
      <c r="T37" s="1207">
        <v>33</v>
      </c>
      <c r="U37" s="1328">
        <v>33</v>
      </c>
      <c r="V37" s="1229"/>
    </row>
    <row r="38" spans="1:22" ht="15">
      <c r="A38" s="1299" t="s">
        <v>581</v>
      </c>
      <c r="B38" s="1236" t="s">
        <v>695</v>
      </c>
      <c r="C38" s="491">
        <v>0</v>
      </c>
      <c r="D38" s="491">
        <v>0</v>
      </c>
      <c r="E38" s="1237">
        <v>604</v>
      </c>
      <c r="F38" s="1207">
        <v>87</v>
      </c>
      <c r="G38" s="1207">
        <v>28</v>
      </c>
      <c r="H38" s="1207">
        <v>0</v>
      </c>
      <c r="I38" s="1229">
        <v>15</v>
      </c>
      <c r="J38" s="1229">
        <v>14</v>
      </c>
      <c r="K38" s="1324"/>
      <c r="L38" s="1325"/>
      <c r="M38" s="1324">
        <v>3</v>
      </c>
      <c r="N38" s="1342">
        <f t="shared" si="2"/>
        <v>0</v>
      </c>
      <c r="O38" s="1326">
        <f t="shared" si="1"/>
        <v>2</v>
      </c>
      <c r="P38" s="1327"/>
      <c r="Q38" s="1152">
        <f t="shared" si="3"/>
        <v>5</v>
      </c>
      <c r="R38" s="1141" t="e">
        <f t="shared" si="4"/>
        <v>#DIV/0!</v>
      </c>
      <c r="S38" s="1068"/>
      <c r="T38" s="1207">
        <v>3</v>
      </c>
      <c r="U38" s="1328">
        <v>5</v>
      </c>
      <c r="V38" s="1229"/>
    </row>
    <row r="39" spans="1:22" ht="15">
      <c r="A39" s="1299" t="s">
        <v>583</v>
      </c>
      <c r="B39" s="1236" t="s">
        <v>696</v>
      </c>
      <c r="C39" s="491">
        <v>12472</v>
      </c>
      <c r="D39" s="491">
        <v>13728</v>
      </c>
      <c r="E39" s="1237" t="s">
        <v>585</v>
      </c>
      <c r="F39" s="1207">
        <v>13454</v>
      </c>
      <c r="G39" s="1207">
        <v>13860</v>
      </c>
      <c r="H39" s="1207">
        <v>13442</v>
      </c>
      <c r="I39" s="1229">
        <v>14664</v>
      </c>
      <c r="J39" s="1229">
        <v>14584</v>
      </c>
      <c r="K39" s="1324">
        <f>K35</f>
        <v>14666</v>
      </c>
      <c r="L39" s="1325">
        <v>14666</v>
      </c>
      <c r="M39" s="1324">
        <v>3442</v>
      </c>
      <c r="N39" s="1342">
        <f t="shared" si="2"/>
        <v>3859</v>
      </c>
      <c r="O39" s="1326">
        <f t="shared" si="1"/>
        <v>4143</v>
      </c>
      <c r="P39" s="1327"/>
      <c r="Q39" s="1152">
        <f t="shared" si="3"/>
        <v>11444</v>
      </c>
      <c r="R39" s="1141">
        <f t="shared" si="4"/>
        <v>78.0308195827083</v>
      </c>
      <c r="S39" s="1068"/>
      <c r="T39" s="1207">
        <v>7301</v>
      </c>
      <c r="U39" s="1328">
        <v>11444</v>
      </c>
      <c r="V39" s="1229"/>
    </row>
    <row r="40" spans="1:22" ht="15.75" thickBot="1">
      <c r="A40" s="1279" t="s">
        <v>586</v>
      </c>
      <c r="B40" s="1239" t="s">
        <v>692</v>
      </c>
      <c r="C40" s="1212">
        <v>12330</v>
      </c>
      <c r="D40" s="1212">
        <v>13218</v>
      </c>
      <c r="E40" s="1240" t="s">
        <v>587</v>
      </c>
      <c r="F40" s="1214">
        <v>399</v>
      </c>
      <c r="G40" s="1214">
        <v>331</v>
      </c>
      <c r="H40" s="1214">
        <v>206</v>
      </c>
      <c r="I40" s="1241">
        <v>354</v>
      </c>
      <c r="J40" s="1241">
        <v>129</v>
      </c>
      <c r="K40" s="1335"/>
      <c r="L40" s="1343"/>
      <c r="M40" s="1336">
        <v>50</v>
      </c>
      <c r="N40" s="1342">
        <f t="shared" si="2"/>
        <v>17</v>
      </c>
      <c r="O40" s="1331">
        <f t="shared" si="1"/>
        <v>26</v>
      </c>
      <c r="P40" s="1332"/>
      <c r="Q40" s="1154">
        <f t="shared" si="3"/>
        <v>93</v>
      </c>
      <c r="R40" s="1145" t="e">
        <f t="shared" si="4"/>
        <v>#DIV/0!</v>
      </c>
      <c r="S40" s="1068"/>
      <c r="T40" s="1292">
        <v>67</v>
      </c>
      <c r="U40" s="1337">
        <v>93</v>
      </c>
      <c r="V40" s="1241"/>
    </row>
    <row r="41" spans="1:22" ht="15.75" thickBot="1">
      <c r="A41" s="1338" t="s">
        <v>588</v>
      </c>
      <c r="B41" s="1242" t="s">
        <v>589</v>
      </c>
      <c r="C41" s="534">
        <f>SUM(C36:C40)</f>
        <v>25992</v>
      </c>
      <c r="D41" s="534">
        <f>SUM(D36:D40)</f>
        <v>28803</v>
      </c>
      <c r="E41" s="1243" t="s">
        <v>521</v>
      </c>
      <c r="F41" s="1157">
        <f aca="true" t="shared" si="6" ref="F41:P41">SUM(F36:F40)</f>
        <v>16050</v>
      </c>
      <c r="G41" s="1157">
        <f t="shared" si="6"/>
        <v>16277</v>
      </c>
      <c r="H41" s="1157">
        <f t="shared" si="6"/>
        <v>15730</v>
      </c>
      <c r="I41" s="1157">
        <f t="shared" si="6"/>
        <v>17017</v>
      </c>
      <c r="J41" s="1157">
        <f>SUM(J36:J40)</f>
        <v>16777</v>
      </c>
      <c r="K41" s="1339">
        <f t="shared" si="6"/>
        <v>14666</v>
      </c>
      <c r="L41" s="1109">
        <f t="shared" si="6"/>
        <v>14666</v>
      </c>
      <c r="M41" s="1157">
        <f t="shared" si="6"/>
        <v>4076</v>
      </c>
      <c r="N41" s="1157">
        <f t="shared" si="6"/>
        <v>4527</v>
      </c>
      <c r="O41" s="1157">
        <f t="shared" si="6"/>
        <v>4448</v>
      </c>
      <c r="P41" s="1344">
        <f t="shared" si="6"/>
        <v>0</v>
      </c>
      <c r="Q41" s="1345">
        <f t="shared" si="3"/>
        <v>13051</v>
      </c>
      <c r="R41" s="1182">
        <f t="shared" si="4"/>
        <v>88.98813582435565</v>
      </c>
      <c r="S41" s="1068"/>
      <c r="T41" s="1157">
        <f>SUM(T36:T40)</f>
        <v>8603</v>
      </c>
      <c r="U41" s="1157">
        <f>SUM(U36:U40)</f>
        <v>13051</v>
      </c>
      <c r="V41" s="1157">
        <f>SUM(V36:V40)</f>
        <v>0</v>
      </c>
    </row>
    <row r="42" spans="1:22" ht="6.75" customHeight="1" thickBot="1">
      <c r="A42" s="1279"/>
      <c r="B42" s="472"/>
      <c r="C42" s="430"/>
      <c r="D42" s="430"/>
      <c r="E42" s="1245"/>
      <c r="F42" s="1214"/>
      <c r="G42" s="1214"/>
      <c r="H42" s="1214"/>
      <c r="I42" s="1246"/>
      <c r="J42" s="1246"/>
      <c r="K42" s="1346"/>
      <c r="L42" s="1347"/>
      <c r="M42" s="1214"/>
      <c r="N42" s="1342"/>
      <c r="O42" s="1348"/>
      <c r="P42" s="1039"/>
      <c r="Q42" s="1137"/>
      <c r="R42" s="1138"/>
      <c r="S42" s="1068"/>
      <c r="T42" s="1214"/>
      <c r="U42" s="1246"/>
      <c r="V42" s="1246"/>
    </row>
    <row r="43" spans="1:22" ht="15.75" thickBot="1">
      <c r="A43" s="1349" t="s">
        <v>590</v>
      </c>
      <c r="B43" s="1247" t="s">
        <v>552</v>
      </c>
      <c r="C43" s="534">
        <f>+C41-C39</f>
        <v>13520</v>
      </c>
      <c r="D43" s="534">
        <f>+D41-D39</f>
        <v>15075</v>
      </c>
      <c r="E43" s="1243" t="s">
        <v>521</v>
      </c>
      <c r="F43" s="1157">
        <f aca="true" t="shared" si="7" ref="F43:P43">F41-F39</f>
        <v>2596</v>
      </c>
      <c r="G43" s="1157">
        <f t="shared" si="7"/>
        <v>2417</v>
      </c>
      <c r="H43" s="1157">
        <f t="shared" si="7"/>
        <v>2288</v>
      </c>
      <c r="I43" s="1157">
        <f t="shared" si="7"/>
        <v>2353</v>
      </c>
      <c r="J43" s="1157">
        <f>J41-J39</f>
        <v>2193</v>
      </c>
      <c r="K43" s="1157">
        <f>K41-K39</f>
        <v>0</v>
      </c>
      <c r="L43" s="1158">
        <f t="shared" si="7"/>
        <v>0</v>
      </c>
      <c r="M43" s="1157">
        <f t="shared" si="7"/>
        <v>634</v>
      </c>
      <c r="N43" s="1157">
        <f t="shared" si="7"/>
        <v>668</v>
      </c>
      <c r="O43" s="1157">
        <f t="shared" si="7"/>
        <v>305</v>
      </c>
      <c r="P43" s="1246">
        <f t="shared" si="7"/>
        <v>0</v>
      </c>
      <c r="Q43" s="1137">
        <f t="shared" si="3"/>
        <v>1607</v>
      </c>
      <c r="R43" s="1138" t="e">
        <f t="shared" si="4"/>
        <v>#DIV/0!</v>
      </c>
      <c r="S43" s="1068"/>
      <c r="T43" s="1157">
        <f>T41-T39</f>
        <v>1302</v>
      </c>
      <c r="U43" s="1157">
        <f>U41-U39</f>
        <v>1607</v>
      </c>
      <c r="V43" s="1157">
        <f>V41-V39</f>
        <v>0</v>
      </c>
    </row>
    <row r="44" spans="1:22" ht="15.75" thickBot="1">
      <c r="A44" s="1338" t="s">
        <v>591</v>
      </c>
      <c r="B44" s="1247" t="s">
        <v>592</v>
      </c>
      <c r="C44" s="534">
        <f>+C41-C35</f>
        <v>93</v>
      </c>
      <c r="D44" s="534">
        <f>+D41-D35</f>
        <v>-465</v>
      </c>
      <c r="E44" s="1243" t="s">
        <v>521</v>
      </c>
      <c r="F44" s="1157">
        <f aca="true" t="shared" si="8" ref="F44:P44">F41-F35</f>
        <v>39</v>
      </c>
      <c r="G44" s="1157">
        <f t="shared" si="8"/>
        <v>10</v>
      </c>
      <c r="H44" s="1157">
        <f t="shared" si="8"/>
        <v>70</v>
      </c>
      <c r="I44" s="1157">
        <f t="shared" si="8"/>
        <v>145</v>
      </c>
      <c r="J44" s="1157">
        <f>J41-J35</f>
        <v>183</v>
      </c>
      <c r="K44" s="1157">
        <f>K41-K35</f>
        <v>0</v>
      </c>
      <c r="L44" s="1158">
        <f t="shared" si="8"/>
        <v>0</v>
      </c>
      <c r="M44" s="1157">
        <f t="shared" si="8"/>
        <v>0</v>
      </c>
      <c r="N44" s="1157">
        <f t="shared" si="8"/>
        <v>0</v>
      </c>
      <c r="O44" s="1157">
        <f t="shared" si="8"/>
        <v>0</v>
      </c>
      <c r="P44" s="1246">
        <f t="shared" si="8"/>
        <v>0</v>
      </c>
      <c r="Q44" s="1137">
        <f t="shared" si="3"/>
        <v>0</v>
      </c>
      <c r="R44" s="1138" t="e">
        <f t="shared" si="4"/>
        <v>#DIV/0!</v>
      </c>
      <c r="S44" s="1068"/>
      <c r="T44" s="1157">
        <f>T41-T35</f>
        <v>0</v>
      </c>
      <c r="U44" s="1157">
        <f>U41-U35</f>
        <v>0</v>
      </c>
      <c r="V44" s="1157">
        <f>V41-V35</f>
        <v>0</v>
      </c>
    </row>
    <row r="45" spans="1:22" ht="15.75" thickBot="1">
      <c r="A45" s="1350" t="s">
        <v>593</v>
      </c>
      <c r="B45" s="1248" t="s">
        <v>552</v>
      </c>
      <c r="C45" s="522">
        <f>+C44-C39</f>
        <v>-12379</v>
      </c>
      <c r="D45" s="522">
        <f>+D44-D39</f>
        <v>-14193</v>
      </c>
      <c r="E45" s="1249" t="s">
        <v>521</v>
      </c>
      <c r="F45" s="1157">
        <f aca="true" t="shared" si="9" ref="F45:P45">F44-F39</f>
        <v>-13415</v>
      </c>
      <c r="G45" s="1157">
        <f t="shared" si="9"/>
        <v>-13850</v>
      </c>
      <c r="H45" s="1157">
        <f t="shared" si="9"/>
        <v>-13372</v>
      </c>
      <c r="I45" s="1157">
        <f t="shared" si="9"/>
        <v>-14519</v>
      </c>
      <c r="J45" s="1157">
        <f>J44-J39</f>
        <v>-14401</v>
      </c>
      <c r="K45" s="1157">
        <f t="shared" si="9"/>
        <v>-14666</v>
      </c>
      <c r="L45" s="1158">
        <f t="shared" si="9"/>
        <v>-14666</v>
      </c>
      <c r="M45" s="1157">
        <f t="shared" si="9"/>
        <v>-3442</v>
      </c>
      <c r="N45" s="1157">
        <f t="shared" si="9"/>
        <v>-3859</v>
      </c>
      <c r="O45" s="1157">
        <f t="shared" si="9"/>
        <v>-4143</v>
      </c>
      <c r="P45" s="1246">
        <f t="shared" si="9"/>
        <v>0</v>
      </c>
      <c r="Q45" s="1157">
        <f t="shared" si="3"/>
        <v>-11444</v>
      </c>
      <c r="R45" s="1158">
        <f t="shared" si="4"/>
        <v>78.0308195827083</v>
      </c>
      <c r="S45" s="1068"/>
      <c r="T45" s="1157">
        <f>T44-T39</f>
        <v>-7301</v>
      </c>
      <c r="U45" s="1157">
        <f>U44-U39</f>
        <v>-11444</v>
      </c>
      <c r="V45" s="1157">
        <f>V44-V39</f>
        <v>0</v>
      </c>
    </row>
    <row r="46" ht="12.75">
      <c r="A46" s="1053"/>
    </row>
    <row r="47" ht="12.75">
      <c r="A47" s="1053"/>
    </row>
    <row r="48" spans="1:5" ht="15">
      <c r="A48" s="114"/>
      <c r="B48" s="1250"/>
      <c r="E48" s="1351" t="s">
        <v>720</v>
      </c>
    </row>
    <row r="49" ht="12.75">
      <c r="A49" s="1053"/>
    </row>
    <row r="50" spans="1:22" ht="14.25">
      <c r="A50" s="893" t="s">
        <v>697</v>
      </c>
      <c r="Q50" s="108"/>
      <c r="R50" s="108"/>
      <c r="S50" s="108"/>
      <c r="T50" s="108"/>
      <c r="U50" s="108"/>
      <c r="V50" s="108"/>
    </row>
    <row r="51" spans="1:22" ht="14.25">
      <c r="A51" s="894" t="s">
        <v>698</v>
      </c>
      <c r="Q51" s="108"/>
      <c r="R51" s="108"/>
      <c r="S51" s="108"/>
      <c r="T51" s="108"/>
      <c r="U51" s="108"/>
      <c r="V51" s="108"/>
    </row>
    <row r="52" spans="1:22" ht="14.25">
      <c r="A52" s="1352" t="s">
        <v>699</v>
      </c>
      <c r="Q52" s="108"/>
      <c r="R52" s="108"/>
      <c r="S52" s="108"/>
      <c r="T52" s="108"/>
      <c r="U52" s="108"/>
      <c r="V52" s="108"/>
    </row>
    <row r="53" spans="1:22" ht="14.25">
      <c r="A53" s="1353"/>
      <c r="Q53" s="108"/>
      <c r="R53" s="108"/>
      <c r="S53" s="108"/>
      <c r="T53" s="108"/>
      <c r="U53" s="108"/>
      <c r="V53" s="108"/>
    </row>
    <row r="54" spans="1:22" ht="12.75">
      <c r="A54" s="1053" t="s">
        <v>704</v>
      </c>
      <c r="Q54" s="108"/>
      <c r="R54" s="108"/>
      <c r="S54" s="108"/>
      <c r="T54" s="108"/>
      <c r="U54" s="108"/>
      <c r="V54" s="108"/>
    </row>
    <row r="55" spans="1:22" ht="12.75">
      <c r="A55" s="1053"/>
      <c r="Q55" s="108"/>
      <c r="R55" s="108"/>
      <c r="S55" s="108"/>
      <c r="T55" s="108"/>
      <c r="U55" s="108"/>
      <c r="V55" s="108"/>
    </row>
    <row r="56" spans="1:22" ht="12.75">
      <c r="A56" s="1053" t="s">
        <v>721</v>
      </c>
      <c r="Q56" s="108"/>
      <c r="R56" s="108"/>
      <c r="S56" s="108"/>
      <c r="T56" s="108"/>
      <c r="U56" s="108"/>
      <c r="V56" s="108"/>
    </row>
    <row r="57" ht="12.75">
      <c r="A57" s="1053" t="s">
        <v>716</v>
      </c>
    </row>
    <row r="58" ht="12.75">
      <c r="A58" s="1053"/>
    </row>
    <row r="59" ht="12.75">
      <c r="A59" s="1053"/>
    </row>
    <row r="60" ht="12.75">
      <c r="A60" s="1053"/>
    </row>
    <row r="61" ht="12.75">
      <c r="A61" s="1053"/>
    </row>
    <row r="62" ht="12.75">
      <c r="A62" s="1053"/>
    </row>
    <row r="63" ht="12.75">
      <c r="A63" s="1053"/>
    </row>
    <row r="64" ht="12.75">
      <c r="A64" s="1053"/>
    </row>
    <row r="65" ht="12.75">
      <c r="A65" s="1053"/>
    </row>
    <row r="66" ht="12.75">
      <c r="A66" s="1053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10.8515625" style="108" hidden="1" customWidth="1"/>
    <col min="5" max="5" width="6.421875" style="576" customWidth="1"/>
    <col min="6" max="6" width="11.7109375" style="108" hidden="1" customWidth="1"/>
    <col min="7" max="9" width="11.57421875" style="108" hidden="1" customWidth="1"/>
    <col min="10" max="11" width="11.57421875" style="496" hidden="1" customWidth="1"/>
    <col min="12" max="12" width="11.57421875" style="496" customWidth="1"/>
    <col min="13" max="13" width="11.421875" style="496" customWidth="1"/>
    <col min="14" max="14" width="9.8515625" style="496" customWidth="1"/>
    <col min="15" max="15" width="11.421875" style="496" bestFit="1" customWidth="1"/>
    <col min="16" max="16" width="9.28125" style="496" customWidth="1"/>
    <col min="17" max="17" width="9.140625" style="496" customWidth="1"/>
    <col min="18" max="18" width="12.00390625" style="496" customWidth="1"/>
    <col min="19" max="19" width="9.140625" style="478" customWidth="1"/>
    <col min="20" max="20" width="3.421875" style="496" customWidth="1"/>
    <col min="21" max="21" width="12.57421875" style="496" customWidth="1"/>
    <col min="22" max="22" width="11.8515625" style="496" customWidth="1"/>
    <col min="23" max="23" width="12.00390625" style="496" customWidth="1"/>
    <col min="24" max="16384" width="9.140625" style="108" customWidth="1"/>
  </cols>
  <sheetData>
    <row r="1" spans="1:23" ht="18">
      <c r="A1" s="1402" t="s">
        <v>665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1403"/>
      <c r="P1" s="1403"/>
      <c r="Q1" s="1403"/>
      <c r="R1" s="1403"/>
      <c r="S1" s="1403"/>
      <c r="T1" s="1403"/>
      <c r="U1" s="1403"/>
      <c r="V1" s="1403"/>
      <c r="W1" s="1403"/>
    </row>
    <row r="2" spans="1:14" ht="21.75" customHeight="1">
      <c r="A2" s="895" t="s">
        <v>595</v>
      </c>
      <c r="B2" s="896"/>
      <c r="M2" s="897"/>
      <c r="N2" s="897"/>
    </row>
    <row r="3" spans="1:14" ht="12.75">
      <c r="A3" s="902"/>
      <c r="M3" s="897"/>
      <c r="N3" s="897"/>
    </row>
    <row r="4" spans="1:14" ht="13.5" thickBot="1">
      <c r="A4" s="1053"/>
      <c r="B4" s="186"/>
      <c r="C4" s="186"/>
      <c r="D4" s="186"/>
      <c r="E4" s="577"/>
      <c r="F4" s="186"/>
      <c r="G4" s="186"/>
      <c r="M4" s="897"/>
      <c r="N4" s="897"/>
    </row>
    <row r="5" spans="1:14" ht="16.5" thickBot="1">
      <c r="A5" s="1251" t="s">
        <v>709</v>
      </c>
      <c r="B5" s="1252" t="s">
        <v>722</v>
      </c>
      <c r="C5" s="1253"/>
      <c r="D5" s="1253"/>
      <c r="E5" s="1254"/>
      <c r="F5" s="1253"/>
      <c r="G5" s="1255"/>
      <c r="H5" s="1253"/>
      <c r="I5" s="1253"/>
      <c r="J5" s="1256"/>
      <c r="K5" s="1191"/>
      <c r="L5" s="855"/>
      <c r="M5" s="901"/>
      <c r="N5" s="901"/>
    </row>
    <row r="6" spans="1:14" ht="23.25" customHeight="1" thickBot="1">
      <c r="A6" s="902" t="s">
        <v>494</v>
      </c>
      <c r="M6" s="897"/>
      <c r="N6" s="897"/>
    </row>
    <row r="7" spans="1:23" ht="13.5" thickBot="1">
      <c r="A7" s="1257" t="s">
        <v>27</v>
      </c>
      <c r="B7" s="1258" t="s">
        <v>498</v>
      </c>
      <c r="C7" s="1259"/>
      <c r="D7" s="1259"/>
      <c r="E7" s="1258" t="s">
        <v>501</v>
      </c>
      <c r="F7" s="1259"/>
      <c r="G7" s="1259"/>
      <c r="H7" s="1258" t="s">
        <v>502</v>
      </c>
      <c r="I7" s="1260" t="s">
        <v>667</v>
      </c>
      <c r="J7" s="1260" t="s">
        <v>668</v>
      </c>
      <c r="K7" s="1260" t="s">
        <v>669</v>
      </c>
      <c r="L7" s="1261" t="s">
        <v>670</v>
      </c>
      <c r="M7" s="1364"/>
      <c r="N7" s="1261" t="s">
        <v>495</v>
      </c>
      <c r="O7" s="1268"/>
      <c r="P7" s="1268"/>
      <c r="Q7" s="1262"/>
      <c r="R7" s="1265" t="s">
        <v>671</v>
      </c>
      <c r="S7" s="1266" t="s">
        <v>497</v>
      </c>
      <c r="U7" s="1267" t="s">
        <v>672</v>
      </c>
      <c r="V7" s="1268"/>
      <c r="W7" s="1262"/>
    </row>
    <row r="8" spans="1:23" ht="13.5" thickBot="1">
      <c r="A8" s="1269"/>
      <c r="B8" s="1270"/>
      <c r="C8" s="1271" t="s">
        <v>499</v>
      </c>
      <c r="D8" s="1271" t="s">
        <v>500</v>
      </c>
      <c r="E8" s="1270"/>
      <c r="F8" s="1271" t="s">
        <v>673</v>
      </c>
      <c r="G8" s="1271" t="s">
        <v>674</v>
      </c>
      <c r="H8" s="1270"/>
      <c r="I8" s="1270"/>
      <c r="J8" s="1270"/>
      <c r="K8" s="1270"/>
      <c r="L8" s="1272" t="s">
        <v>31</v>
      </c>
      <c r="M8" s="1272" t="s">
        <v>32</v>
      </c>
      <c r="N8" s="1273" t="s">
        <v>508</v>
      </c>
      <c r="O8" s="1274" t="s">
        <v>511</v>
      </c>
      <c r="P8" s="1275" t="s">
        <v>514</v>
      </c>
      <c r="Q8" s="1276" t="s">
        <v>517</v>
      </c>
      <c r="R8" s="1272" t="s">
        <v>518</v>
      </c>
      <c r="S8" s="1277" t="s">
        <v>519</v>
      </c>
      <c r="U8" s="1365" t="s">
        <v>676</v>
      </c>
      <c r="V8" s="1366" t="s">
        <v>677</v>
      </c>
      <c r="W8" s="1366" t="s">
        <v>678</v>
      </c>
    </row>
    <row r="9" spans="1:23" ht="12.75">
      <c r="A9" s="1279" t="s">
        <v>520</v>
      </c>
      <c r="B9" s="1194"/>
      <c r="C9" s="1195">
        <v>104</v>
      </c>
      <c r="D9" s="1195">
        <v>104</v>
      </c>
      <c r="E9" s="1196"/>
      <c r="F9" s="1197">
        <v>30</v>
      </c>
      <c r="G9" s="1197">
        <v>31</v>
      </c>
      <c r="H9" s="1197">
        <v>30</v>
      </c>
      <c r="I9" s="1356">
        <v>30</v>
      </c>
      <c r="J9" s="1198">
        <v>30</v>
      </c>
      <c r="K9" s="1198">
        <v>30</v>
      </c>
      <c r="L9" s="1280"/>
      <c r="M9" s="1367"/>
      <c r="N9" s="1281">
        <v>31</v>
      </c>
      <c r="O9" s="1296">
        <f>U9</f>
        <v>31</v>
      </c>
      <c r="P9" s="1368">
        <f>V9</f>
        <v>31</v>
      </c>
      <c r="Q9" s="1369"/>
      <c r="R9" s="1284" t="s">
        <v>521</v>
      </c>
      <c r="S9" s="1285" t="s">
        <v>521</v>
      </c>
      <c r="T9" s="1068"/>
      <c r="U9" s="1370">
        <v>31</v>
      </c>
      <c r="V9" s="1198">
        <v>31</v>
      </c>
      <c r="W9" s="1198"/>
    </row>
    <row r="10" spans="1:23" ht="13.5" thickBot="1">
      <c r="A10" s="1286" t="s">
        <v>522</v>
      </c>
      <c r="B10" s="480"/>
      <c r="C10" s="1200">
        <v>101</v>
      </c>
      <c r="D10" s="1200">
        <v>104</v>
      </c>
      <c r="E10" s="1201"/>
      <c r="F10" s="1202">
        <v>28</v>
      </c>
      <c r="G10" s="1202">
        <v>29</v>
      </c>
      <c r="H10" s="1202">
        <v>29</v>
      </c>
      <c r="I10" s="1357">
        <v>29</v>
      </c>
      <c r="J10" s="1203">
        <v>31</v>
      </c>
      <c r="K10" s="1203">
        <v>29</v>
      </c>
      <c r="L10" s="1287"/>
      <c r="M10" s="1371"/>
      <c r="N10" s="1288">
        <v>30</v>
      </c>
      <c r="O10" s="1306">
        <f aca="true" t="shared" si="0" ref="O10:P21">U10</f>
        <v>30</v>
      </c>
      <c r="P10" s="1372">
        <f t="shared" si="0"/>
        <v>30</v>
      </c>
      <c r="Q10" s="1373"/>
      <c r="R10" s="1287" t="s">
        <v>521</v>
      </c>
      <c r="S10" s="1291" t="s">
        <v>521</v>
      </c>
      <c r="T10" s="1068"/>
      <c r="U10" s="1374">
        <v>30</v>
      </c>
      <c r="V10" s="1203">
        <v>30</v>
      </c>
      <c r="W10" s="1203"/>
    </row>
    <row r="11" spans="1:23" ht="12.75">
      <c r="A11" s="1293" t="s">
        <v>523</v>
      </c>
      <c r="B11" s="1205" t="s">
        <v>524</v>
      </c>
      <c r="C11" s="501">
        <v>37915</v>
      </c>
      <c r="D11" s="501">
        <v>39774</v>
      </c>
      <c r="E11" s="1206" t="s">
        <v>525</v>
      </c>
      <c r="F11" s="1207">
        <v>6049</v>
      </c>
      <c r="G11" s="1207">
        <v>6122</v>
      </c>
      <c r="H11" s="1207">
        <v>6544</v>
      </c>
      <c r="I11" s="1358">
        <v>6823</v>
      </c>
      <c r="J11" s="1208">
        <v>6905</v>
      </c>
      <c r="K11" s="1208">
        <v>7201</v>
      </c>
      <c r="L11" s="1294" t="s">
        <v>521</v>
      </c>
      <c r="M11" s="1375" t="s">
        <v>521</v>
      </c>
      <c r="N11" s="1295">
        <v>7191</v>
      </c>
      <c r="O11" s="1322">
        <f t="shared" si="0"/>
        <v>7274</v>
      </c>
      <c r="P11" s="983">
        <f t="shared" si="0"/>
        <v>7274</v>
      </c>
      <c r="Q11" s="1376"/>
      <c r="R11" s="1300" t="s">
        <v>521</v>
      </c>
      <c r="S11" s="1298" t="s">
        <v>521</v>
      </c>
      <c r="T11" s="1068"/>
      <c r="U11" s="1370">
        <v>7274</v>
      </c>
      <c r="V11" s="1208">
        <v>7274</v>
      </c>
      <c r="W11" s="1208"/>
    </row>
    <row r="12" spans="1:23" ht="12.75">
      <c r="A12" s="1299" t="s">
        <v>526</v>
      </c>
      <c r="B12" s="1210" t="s">
        <v>527</v>
      </c>
      <c r="C12" s="491">
        <v>-16164</v>
      </c>
      <c r="D12" s="491">
        <v>-17825</v>
      </c>
      <c r="E12" s="1206" t="s">
        <v>528</v>
      </c>
      <c r="F12" s="1207">
        <v>-5541</v>
      </c>
      <c r="G12" s="1207">
        <v>-5584</v>
      </c>
      <c r="H12" s="1207">
        <v>-6014</v>
      </c>
      <c r="I12" s="1358">
        <v>6351</v>
      </c>
      <c r="J12" s="1208">
        <v>6490</v>
      </c>
      <c r="K12" s="1208">
        <v>6792</v>
      </c>
      <c r="L12" s="1300" t="s">
        <v>521</v>
      </c>
      <c r="M12" s="1377" t="s">
        <v>521</v>
      </c>
      <c r="N12" s="1301">
        <v>6796</v>
      </c>
      <c r="O12" s="1327">
        <f t="shared" si="0"/>
        <v>6892</v>
      </c>
      <c r="P12" s="992">
        <f t="shared" si="0"/>
        <v>6906</v>
      </c>
      <c r="Q12" s="1376"/>
      <c r="R12" s="1300" t="s">
        <v>521</v>
      </c>
      <c r="S12" s="1298" t="s">
        <v>521</v>
      </c>
      <c r="T12" s="1068"/>
      <c r="U12" s="1378">
        <v>6892</v>
      </c>
      <c r="V12" s="1208">
        <v>6906</v>
      </c>
      <c r="W12" s="1208"/>
    </row>
    <row r="13" spans="1:23" ht="12.75">
      <c r="A13" s="1299" t="s">
        <v>529</v>
      </c>
      <c r="B13" s="1210" t="s">
        <v>679</v>
      </c>
      <c r="C13" s="491">
        <v>604</v>
      </c>
      <c r="D13" s="491">
        <v>619</v>
      </c>
      <c r="E13" s="1206" t="s">
        <v>531</v>
      </c>
      <c r="F13" s="1207">
        <v>116</v>
      </c>
      <c r="G13" s="1207">
        <v>96</v>
      </c>
      <c r="H13" s="1207">
        <v>113</v>
      </c>
      <c r="I13" s="1358">
        <v>92</v>
      </c>
      <c r="J13" s="1208">
        <v>154</v>
      </c>
      <c r="K13" s="1208">
        <v>78</v>
      </c>
      <c r="L13" s="1300" t="s">
        <v>521</v>
      </c>
      <c r="M13" s="1377" t="s">
        <v>521</v>
      </c>
      <c r="N13" s="1301">
        <v>97</v>
      </c>
      <c r="O13" s="1327">
        <f t="shared" si="0"/>
        <v>52</v>
      </c>
      <c r="P13" s="992">
        <f t="shared" si="0"/>
        <v>341</v>
      </c>
      <c r="Q13" s="1376"/>
      <c r="R13" s="1300" t="s">
        <v>521</v>
      </c>
      <c r="S13" s="1298" t="s">
        <v>521</v>
      </c>
      <c r="T13" s="1068"/>
      <c r="U13" s="1378">
        <v>52</v>
      </c>
      <c r="V13" s="1208">
        <v>341</v>
      </c>
      <c r="W13" s="1208"/>
    </row>
    <row r="14" spans="1:23" ht="12.75">
      <c r="A14" s="1299" t="s">
        <v>532</v>
      </c>
      <c r="B14" s="1210" t="s">
        <v>680</v>
      </c>
      <c r="C14" s="491">
        <v>221</v>
      </c>
      <c r="D14" s="491">
        <v>610</v>
      </c>
      <c r="E14" s="1206" t="s">
        <v>521</v>
      </c>
      <c r="F14" s="1207">
        <v>468</v>
      </c>
      <c r="G14" s="1207">
        <v>594</v>
      </c>
      <c r="H14" s="1207">
        <v>719</v>
      </c>
      <c r="I14" s="1358">
        <v>673</v>
      </c>
      <c r="J14" s="1208">
        <v>542</v>
      </c>
      <c r="K14" s="1208">
        <v>353</v>
      </c>
      <c r="L14" s="1300" t="s">
        <v>521</v>
      </c>
      <c r="M14" s="1377" t="s">
        <v>521</v>
      </c>
      <c r="N14" s="1301">
        <v>2686</v>
      </c>
      <c r="O14" s="1327">
        <f t="shared" si="0"/>
        <v>1750</v>
      </c>
      <c r="P14" s="992">
        <f t="shared" si="0"/>
        <v>1229</v>
      </c>
      <c r="Q14" s="1376"/>
      <c r="R14" s="1300" t="s">
        <v>521</v>
      </c>
      <c r="S14" s="1298" t="s">
        <v>521</v>
      </c>
      <c r="T14" s="1068"/>
      <c r="U14" s="1378">
        <v>1750</v>
      </c>
      <c r="V14" s="1208">
        <v>1229</v>
      </c>
      <c r="W14" s="1208"/>
    </row>
    <row r="15" spans="1:23" ht="13.5" thickBot="1">
      <c r="A15" s="1279" t="s">
        <v>534</v>
      </c>
      <c r="B15" s="1211" t="s">
        <v>681</v>
      </c>
      <c r="C15" s="1212">
        <v>2021</v>
      </c>
      <c r="D15" s="1212">
        <v>852</v>
      </c>
      <c r="E15" s="1213" t="s">
        <v>536</v>
      </c>
      <c r="F15" s="1214">
        <v>980</v>
      </c>
      <c r="G15" s="1214">
        <v>1183</v>
      </c>
      <c r="H15" s="1214">
        <v>976</v>
      </c>
      <c r="I15" s="1359">
        <v>1028</v>
      </c>
      <c r="J15" s="1215">
        <v>1046</v>
      </c>
      <c r="K15" s="1215">
        <v>1799</v>
      </c>
      <c r="L15" s="1304" t="s">
        <v>521</v>
      </c>
      <c r="M15" s="1379" t="s">
        <v>521</v>
      </c>
      <c r="N15" s="1305">
        <v>2631</v>
      </c>
      <c r="O15" s="1327">
        <f t="shared" si="0"/>
        <v>3194</v>
      </c>
      <c r="P15" s="1001">
        <f t="shared" si="0"/>
        <v>1999</v>
      </c>
      <c r="Q15" s="1380"/>
      <c r="R15" s="1284" t="s">
        <v>521</v>
      </c>
      <c r="S15" s="1285" t="s">
        <v>521</v>
      </c>
      <c r="T15" s="1068"/>
      <c r="U15" s="1381">
        <v>3194</v>
      </c>
      <c r="V15" s="1215">
        <v>1999</v>
      </c>
      <c r="W15" s="1215"/>
    </row>
    <row r="16" spans="1:23" ht="15" thickBot="1">
      <c r="A16" s="1308" t="s">
        <v>537</v>
      </c>
      <c r="B16" s="1217"/>
      <c r="C16" s="507">
        <v>24618</v>
      </c>
      <c r="D16" s="507">
        <v>24087</v>
      </c>
      <c r="E16" s="1218"/>
      <c r="F16" s="1157">
        <v>2081</v>
      </c>
      <c r="G16" s="1157">
        <v>2411</v>
      </c>
      <c r="H16" s="1157">
        <v>2340</v>
      </c>
      <c r="I16" s="1081">
        <v>2265</v>
      </c>
      <c r="J16" s="1360">
        <f>J11-J12+J13+J14+J15</f>
        <v>2157</v>
      </c>
      <c r="K16" s="1360">
        <f>K11-K12+K13+K14+K15</f>
        <v>2639</v>
      </c>
      <c r="L16" s="1081" t="s">
        <v>521</v>
      </c>
      <c r="M16" s="1382" t="s">
        <v>521</v>
      </c>
      <c r="N16" s="1383">
        <f>N11-N12+N13+N14+N15</f>
        <v>5809</v>
      </c>
      <c r="O16" s="1360">
        <f>O11-O12+O13+O14+O15</f>
        <v>5378</v>
      </c>
      <c r="P16" s="1360">
        <f>P11-P12+P13+P14+P15</f>
        <v>3937</v>
      </c>
      <c r="Q16" s="1384"/>
      <c r="R16" s="1081" t="s">
        <v>521</v>
      </c>
      <c r="S16" s="1312" t="s">
        <v>521</v>
      </c>
      <c r="T16" s="1068"/>
      <c r="U16" s="1360">
        <f>U11-U12+U13+U14+U15</f>
        <v>5378</v>
      </c>
      <c r="V16" s="1360">
        <f>V11-V12+V13+V14+V15</f>
        <v>3937</v>
      </c>
      <c r="W16" s="1360">
        <f>W11-W12+W13+W14+W15</f>
        <v>0</v>
      </c>
    </row>
    <row r="17" spans="1:23" ht="12.75">
      <c r="A17" s="1279" t="s">
        <v>538</v>
      </c>
      <c r="B17" s="1205" t="s">
        <v>539</v>
      </c>
      <c r="C17" s="501">
        <v>7043</v>
      </c>
      <c r="D17" s="501">
        <v>7240</v>
      </c>
      <c r="E17" s="1213">
        <v>401</v>
      </c>
      <c r="F17" s="1214">
        <v>508</v>
      </c>
      <c r="G17" s="1214">
        <v>537</v>
      </c>
      <c r="H17" s="1361">
        <v>530</v>
      </c>
      <c r="I17" s="1359">
        <v>472</v>
      </c>
      <c r="J17" s="1215">
        <v>429</v>
      </c>
      <c r="K17" s="1216">
        <v>409</v>
      </c>
      <c r="L17" s="1385" t="s">
        <v>521</v>
      </c>
      <c r="M17" s="1386" t="s">
        <v>521</v>
      </c>
      <c r="N17" s="1305">
        <v>395</v>
      </c>
      <c r="O17" s="1302">
        <f t="shared" si="0"/>
        <v>382</v>
      </c>
      <c r="P17" s="1387">
        <f>V17</f>
        <v>368</v>
      </c>
      <c r="Q17" s="1388"/>
      <c r="R17" s="1284" t="s">
        <v>521</v>
      </c>
      <c r="S17" s="1285" t="s">
        <v>521</v>
      </c>
      <c r="T17" s="1068"/>
      <c r="U17" s="1389">
        <v>382</v>
      </c>
      <c r="V17" s="1215">
        <v>368</v>
      </c>
      <c r="W17" s="1216"/>
    </row>
    <row r="18" spans="1:23" ht="12.75">
      <c r="A18" s="1299" t="s">
        <v>540</v>
      </c>
      <c r="B18" s="1210" t="s">
        <v>541</v>
      </c>
      <c r="C18" s="491">
        <v>1001</v>
      </c>
      <c r="D18" s="491">
        <v>820</v>
      </c>
      <c r="E18" s="1206" t="s">
        <v>542</v>
      </c>
      <c r="F18" s="1207">
        <v>112</v>
      </c>
      <c r="G18" s="1207">
        <v>106</v>
      </c>
      <c r="H18" s="1315">
        <v>160</v>
      </c>
      <c r="I18" s="1358">
        <v>85</v>
      </c>
      <c r="J18" s="1208">
        <v>432</v>
      </c>
      <c r="K18" s="1209">
        <v>595</v>
      </c>
      <c r="L18" s="1358" t="s">
        <v>521</v>
      </c>
      <c r="M18" s="1390" t="s">
        <v>521</v>
      </c>
      <c r="N18" s="1301">
        <v>520</v>
      </c>
      <c r="O18" s="1302">
        <f t="shared" si="0"/>
        <v>551</v>
      </c>
      <c r="P18" s="1387">
        <f>V18</f>
        <v>510</v>
      </c>
      <c r="Q18" s="1376"/>
      <c r="R18" s="1300" t="s">
        <v>521</v>
      </c>
      <c r="S18" s="1298" t="s">
        <v>521</v>
      </c>
      <c r="T18" s="1068"/>
      <c r="U18" s="1378">
        <v>551</v>
      </c>
      <c r="V18" s="1208">
        <v>510</v>
      </c>
      <c r="W18" s="1209"/>
    </row>
    <row r="19" spans="1:23" ht="12.75">
      <c r="A19" s="1299" t="s">
        <v>543</v>
      </c>
      <c r="B19" s="1210" t="s">
        <v>682</v>
      </c>
      <c r="C19" s="491">
        <v>14718</v>
      </c>
      <c r="D19" s="491">
        <v>14718</v>
      </c>
      <c r="E19" s="1206" t="s">
        <v>521</v>
      </c>
      <c r="F19" s="1207"/>
      <c r="G19" s="1207"/>
      <c r="H19" s="1315"/>
      <c r="I19" s="1358"/>
      <c r="J19" s="1208"/>
      <c r="K19" s="1209"/>
      <c r="L19" s="1358" t="s">
        <v>521</v>
      </c>
      <c r="M19" s="1390" t="s">
        <v>521</v>
      </c>
      <c r="N19" s="1301"/>
      <c r="O19" s="1302">
        <f t="shared" si="0"/>
        <v>0</v>
      </c>
      <c r="P19" s="1387">
        <f>V19</f>
        <v>0</v>
      </c>
      <c r="Q19" s="1376"/>
      <c r="R19" s="1300" t="s">
        <v>521</v>
      </c>
      <c r="S19" s="1298" t="s">
        <v>521</v>
      </c>
      <c r="T19" s="1068"/>
      <c r="U19" s="1378"/>
      <c r="V19" s="1208"/>
      <c r="W19" s="1209"/>
    </row>
    <row r="20" spans="1:23" ht="12.75">
      <c r="A20" s="1299" t="s">
        <v>545</v>
      </c>
      <c r="B20" s="1210" t="s">
        <v>544</v>
      </c>
      <c r="C20" s="491">
        <v>1758</v>
      </c>
      <c r="D20" s="491">
        <v>1762</v>
      </c>
      <c r="E20" s="1206" t="s">
        <v>521</v>
      </c>
      <c r="F20" s="1207">
        <v>894</v>
      </c>
      <c r="G20" s="1207">
        <v>1172</v>
      </c>
      <c r="H20" s="1315">
        <v>1069</v>
      </c>
      <c r="I20" s="1358">
        <v>1701</v>
      </c>
      <c r="J20" s="1208">
        <v>1296</v>
      </c>
      <c r="K20" s="1209">
        <v>1506</v>
      </c>
      <c r="L20" s="1358" t="s">
        <v>521</v>
      </c>
      <c r="M20" s="1390" t="s">
        <v>521</v>
      </c>
      <c r="N20" s="1301">
        <v>4764</v>
      </c>
      <c r="O20" s="1302">
        <f t="shared" si="0"/>
        <v>4444</v>
      </c>
      <c r="P20" s="1387">
        <f>V20</f>
        <v>3059</v>
      </c>
      <c r="Q20" s="1376"/>
      <c r="R20" s="1300" t="s">
        <v>521</v>
      </c>
      <c r="S20" s="1298" t="s">
        <v>521</v>
      </c>
      <c r="T20" s="1068"/>
      <c r="U20" s="1378">
        <v>4444</v>
      </c>
      <c r="V20" s="1208">
        <v>3059</v>
      </c>
      <c r="W20" s="1209"/>
    </row>
    <row r="21" spans="1:23" ht="13.5" thickBot="1">
      <c r="A21" s="1286" t="s">
        <v>547</v>
      </c>
      <c r="B21" s="1220"/>
      <c r="C21" s="1221">
        <v>0</v>
      </c>
      <c r="D21" s="1221">
        <v>0</v>
      </c>
      <c r="E21" s="1222" t="s">
        <v>521</v>
      </c>
      <c r="F21" s="1207"/>
      <c r="G21" s="1207"/>
      <c r="H21" s="1315"/>
      <c r="I21" s="1357"/>
      <c r="J21" s="1204"/>
      <c r="K21" s="1224"/>
      <c r="L21" s="1357" t="s">
        <v>521</v>
      </c>
      <c r="M21" s="1391" t="s">
        <v>521</v>
      </c>
      <c r="N21" s="1316"/>
      <c r="O21" s="1306">
        <f t="shared" si="0"/>
        <v>0</v>
      </c>
      <c r="P21" s="1372">
        <f>V21</f>
        <v>0</v>
      </c>
      <c r="Q21" s="1380"/>
      <c r="R21" s="1304" t="s">
        <v>521</v>
      </c>
      <c r="S21" s="1317" t="s">
        <v>521</v>
      </c>
      <c r="T21" s="1068"/>
      <c r="U21" s="1318"/>
      <c r="V21" s="1223"/>
      <c r="W21" s="1224"/>
    </row>
    <row r="22" spans="1:24" ht="14.25">
      <c r="A22" s="1319" t="s">
        <v>549</v>
      </c>
      <c r="B22" s="1205" t="s">
        <v>550</v>
      </c>
      <c r="C22" s="501">
        <v>12472</v>
      </c>
      <c r="D22" s="501">
        <v>13728</v>
      </c>
      <c r="E22" s="1225" t="s">
        <v>521</v>
      </c>
      <c r="F22" s="1226">
        <v>11510</v>
      </c>
      <c r="G22" s="1226">
        <v>11943</v>
      </c>
      <c r="H22" s="1362">
        <v>13364</v>
      </c>
      <c r="I22" s="1227">
        <v>12980</v>
      </c>
      <c r="J22" s="1227">
        <v>12991</v>
      </c>
      <c r="K22" s="1227">
        <v>13186</v>
      </c>
      <c r="L22" s="1320">
        <f>L35</f>
        <v>13287</v>
      </c>
      <c r="M22" s="1320">
        <f>M35</f>
        <v>13350</v>
      </c>
      <c r="N22" s="1321">
        <v>4187</v>
      </c>
      <c r="O22" s="1322">
        <f>U22-N22</f>
        <v>2981</v>
      </c>
      <c r="P22" s="983">
        <f>V22-U22</f>
        <v>3524</v>
      </c>
      <c r="Q22" s="983"/>
      <c r="R22" s="1150">
        <f>SUM(N22:Q22)</f>
        <v>10692</v>
      </c>
      <c r="S22" s="1138">
        <f>(R22/M22)*100</f>
        <v>80.08988764044945</v>
      </c>
      <c r="T22" s="1068"/>
      <c r="U22" s="1370">
        <v>7168</v>
      </c>
      <c r="V22" s="1323">
        <v>10692</v>
      </c>
      <c r="W22" s="1227"/>
      <c r="X22" s="114"/>
    </row>
    <row r="23" spans="1:23" ht="14.25">
      <c r="A23" s="1299" t="s">
        <v>551</v>
      </c>
      <c r="B23" s="1210" t="s">
        <v>552</v>
      </c>
      <c r="C23" s="491">
        <v>0</v>
      </c>
      <c r="D23" s="491">
        <v>0</v>
      </c>
      <c r="E23" s="1228" t="s">
        <v>521</v>
      </c>
      <c r="F23" s="1207">
        <v>200</v>
      </c>
      <c r="G23" s="1207"/>
      <c r="H23" s="1315"/>
      <c r="I23" s="1229"/>
      <c r="J23" s="1229">
        <v>0</v>
      </c>
      <c r="K23" s="1229">
        <v>1281</v>
      </c>
      <c r="L23" s="1324"/>
      <c r="M23" s="1325"/>
      <c r="N23" s="1324"/>
      <c r="O23" s="1342">
        <f aca="true" t="shared" si="1" ref="O23:O40">U23-N23</f>
        <v>0</v>
      </c>
      <c r="P23" s="992">
        <f aca="true" t="shared" si="2" ref="P23:P40">V23-U23</f>
        <v>0</v>
      </c>
      <c r="Q23" s="992"/>
      <c r="R23" s="1152">
        <f aca="true" t="shared" si="3" ref="R23:R45">SUM(N23:Q23)</f>
        <v>0</v>
      </c>
      <c r="S23" s="1141" t="e">
        <f aca="true" t="shared" si="4" ref="S23:S45">(R23/M23)*100</f>
        <v>#DIV/0!</v>
      </c>
      <c r="T23" s="1068"/>
      <c r="U23" s="1378"/>
      <c r="V23" s="1328"/>
      <c r="W23" s="1229"/>
    </row>
    <row r="24" spans="1:23" ht="15" thickBot="1">
      <c r="A24" s="1286" t="s">
        <v>553</v>
      </c>
      <c r="B24" s="1220" t="s">
        <v>552</v>
      </c>
      <c r="C24" s="1221">
        <v>0</v>
      </c>
      <c r="D24" s="1221">
        <v>1215</v>
      </c>
      <c r="E24" s="1230">
        <v>672</v>
      </c>
      <c r="F24" s="1231">
        <v>2755</v>
      </c>
      <c r="G24" s="1231">
        <v>2972</v>
      </c>
      <c r="H24" s="1363">
        <v>3417</v>
      </c>
      <c r="I24" s="1232">
        <v>3050</v>
      </c>
      <c r="J24" s="1232">
        <v>2800</v>
      </c>
      <c r="K24" s="1232">
        <v>2850</v>
      </c>
      <c r="L24" s="1329">
        <f>L25+L26+L27+L28+L29</f>
        <v>2900</v>
      </c>
      <c r="M24" s="1329">
        <f>M25+M26+M27+M28+M29</f>
        <v>2900</v>
      </c>
      <c r="N24" s="1330">
        <v>726</v>
      </c>
      <c r="O24" s="1392">
        <f t="shared" si="1"/>
        <v>724</v>
      </c>
      <c r="P24" s="1001">
        <f t="shared" si="2"/>
        <v>725</v>
      </c>
      <c r="Q24" s="1001"/>
      <c r="R24" s="1154">
        <f t="shared" si="3"/>
        <v>2175</v>
      </c>
      <c r="S24" s="1145">
        <f t="shared" si="4"/>
        <v>75</v>
      </c>
      <c r="T24" s="1068"/>
      <c r="U24" s="1381">
        <v>1450</v>
      </c>
      <c r="V24" s="1333">
        <v>2175</v>
      </c>
      <c r="W24" s="1232"/>
    </row>
    <row r="25" spans="1:23" ht="14.25">
      <c r="A25" s="1293" t="s">
        <v>554</v>
      </c>
      <c r="B25" s="1233" t="s">
        <v>683</v>
      </c>
      <c r="C25" s="501">
        <v>6341</v>
      </c>
      <c r="D25" s="501">
        <v>6960</v>
      </c>
      <c r="E25" s="1234">
        <v>501</v>
      </c>
      <c r="F25" s="1207">
        <v>1767</v>
      </c>
      <c r="G25" s="1207">
        <v>1661</v>
      </c>
      <c r="H25" s="1315">
        <v>1939</v>
      </c>
      <c r="I25" s="1235">
        <v>1685</v>
      </c>
      <c r="J25" s="1235">
        <v>1754</v>
      </c>
      <c r="K25" s="1235">
        <v>1448</v>
      </c>
      <c r="L25" s="1320">
        <v>900</v>
      </c>
      <c r="M25" s="1320">
        <v>900</v>
      </c>
      <c r="N25" s="1320">
        <v>428</v>
      </c>
      <c r="O25" s="1322">
        <f t="shared" si="1"/>
        <v>643</v>
      </c>
      <c r="P25" s="983">
        <f t="shared" si="2"/>
        <v>336</v>
      </c>
      <c r="Q25" s="1010"/>
      <c r="R25" s="1150">
        <f t="shared" si="3"/>
        <v>1407</v>
      </c>
      <c r="S25" s="1138">
        <f t="shared" si="4"/>
        <v>156.33333333333331</v>
      </c>
      <c r="T25" s="1068"/>
      <c r="U25" s="1389">
        <v>1071</v>
      </c>
      <c r="V25" s="1334">
        <v>1407</v>
      </c>
      <c r="W25" s="1235"/>
    </row>
    <row r="26" spans="1:23" ht="14.25">
      <c r="A26" s="1299" t="s">
        <v>556</v>
      </c>
      <c r="B26" s="1236" t="s">
        <v>684</v>
      </c>
      <c r="C26" s="491">
        <v>1745</v>
      </c>
      <c r="D26" s="491">
        <v>2223</v>
      </c>
      <c r="E26" s="1237">
        <v>502</v>
      </c>
      <c r="F26" s="1207">
        <v>943</v>
      </c>
      <c r="G26" s="1207">
        <v>1037</v>
      </c>
      <c r="H26" s="1315">
        <v>1072</v>
      </c>
      <c r="I26" s="1229">
        <v>1011</v>
      </c>
      <c r="J26" s="1229">
        <v>990</v>
      </c>
      <c r="K26" s="1229">
        <v>1334</v>
      </c>
      <c r="L26" s="1324">
        <v>900</v>
      </c>
      <c r="M26" s="1324">
        <v>900</v>
      </c>
      <c r="N26" s="1324">
        <v>465</v>
      </c>
      <c r="O26" s="1342">
        <f t="shared" si="1"/>
        <v>582</v>
      </c>
      <c r="P26" s="992">
        <f t="shared" si="2"/>
        <v>188</v>
      </c>
      <c r="Q26" s="992"/>
      <c r="R26" s="1152">
        <f t="shared" si="3"/>
        <v>1235</v>
      </c>
      <c r="S26" s="1141">
        <f t="shared" si="4"/>
        <v>137.22222222222223</v>
      </c>
      <c r="T26" s="1068"/>
      <c r="U26" s="1378">
        <v>1047</v>
      </c>
      <c r="V26" s="1328">
        <v>1235</v>
      </c>
      <c r="W26" s="1229"/>
    </row>
    <row r="27" spans="1:23" ht="15">
      <c r="A27" s="1299" t="s">
        <v>558</v>
      </c>
      <c r="B27" s="1236" t="s">
        <v>685</v>
      </c>
      <c r="C27" s="491">
        <v>0</v>
      </c>
      <c r="D27" s="491">
        <v>0</v>
      </c>
      <c r="E27" s="1237">
        <v>504</v>
      </c>
      <c r="F27" s="1207"/>
      <c r="G27" s="1207"/>
      <c r="H27" s="1315"/>
      <c r="I27" s="1229"/>
      <c r="J27" s="1229">
        <v>0</v>
      </c>
      <c r="K27" s="1229"/>
      <c r="L27" s="1324"/>
      <c r="M27" s="1324"/>
      <c r="N27" s="1324"/>
      <c r="O27" s="1342">
        <f t="shared" si="1"/>
        <v>0</v>
      </c>
      <c r="P27" s="992">
        <f t="shared" si="2"/>
        <v>0</v>
      </c>
      <c r="Q27" s="992"/>
      <c r="R27" s="1152">
        <f t="shared" si="3"/>
        <v>0</v>
      </c>
      <c r="S27" s="1141" t="e">
        <f t="shared" si="4"/>
        <v>#DIV/0!</v>
      </c>
      <c r="T27" s="1068"/>
      <c r="U27" s="1315"/>
      <c r="V27" s="1328"/>
      <c r="W27" s="1229"/>
    </row>
    <row r="28" spans="1:23" ht="15">
      <c r="A28" s="1299" t="s">
        <v>560</v>
      </c>
      <c r="B28" s="1236" t="s">
        <v>686</v>
      </c>
      <c r="C28" s="491">
        <v>428</v>
      </c>
      <c r="D28" s="491">
        <v>253</v>
      </c>
      <c r="E28" s="1237">
        <v>511</v>
      </c>
      <c r="F28" s="1207">
        <v>592</v>
      </c>
      <c r="G28" s="1207">
        <v>582</v>
      </c>
      <c r="H28" s="1315">
        <v>851</v>
      </c>
      <c r="I28" s="1229">
        <v>788</v>
      </c>
      <c r="J28" s="1229">
        <v>765</v>
      </c>
      <c r="K28" s="1229">
        <v>112</v>
      </c>
      <c r="L28" s="1324">
        <v>600</v>
      </c>
      <c r="M28" s="1324">
        <v>600</v>
      </c>
      <c r="N28" s="1324">
        <v>100</v>
      </c>
      <c r="O28" s="1342">
        <f t="shared" si="1"/>
        <v>45</v>
      </c>
      <c r="P28" s="992">
        <f t="shared" si="2"/>
        <v>298</v>
      </c>
      <c r="Q28" s="992"/>
      <c r="R28" s="1152">
        <f t="shared" si="3"/>
        <v>443</v>
      </c>
      <c r="S28" s="1141">
        <f t="shared" si="4"/>
        <v>73.83333333333333</v>
      </c>
      <c r="T28" s="1068"/>
      <c r="U28" s="1378">
        <v>145</v>
      </c>
      <c r="V28" s="1328">
        <v>443</v>
      </c>
      <c r="W28" s="1229"/>
    </row>
    <row r="29" spans="1:23" ht="15">
      <c r="A29" s="1299" t="s">
        <v>562</v>
      </c>
      <c r="B29" s="1236" t="s">
        <v>687</v>
      </c>
      <c r="C29" s="491">
        <v>1057</v>
      </c>
      <c r="D29" s="491">
        <v>1451</v>
      </c>
      <c r="E29" s="1237">
        <v>518</v>
      </c>
      <c r="F29" s="1207">
        <v>640</v>
      </c>
      <c r="G29" s="1207">
        <v>725</v>
      </c>
      <c r="H29" s="1315">
        <v>799</v>
      </c>
      <c r="I29" s="1229">
        <v>592</v>
      </c>
      <c r="J29" s="1229">
        <v>619</v>
      </c>
      <c r="K29" s="1229">
        <v>636</v>
      </c>
      <c r="L29" s="1324">
        <v>500</v>
      </c>
      <c r="M29" s="1324">
        <v>500</v>
      </c>
      <c r="N29" s="1324">
        <v>114</v>
      </c>
      <c r="O29" s="1342">
        <f t="shared" si="1"/>
        <v>166</v>
      </c>
      <c r="P29" s="992">
        <f t="shared" si="2"/>
        <v>105</v>
      </c>
      <c r="Q29" s="992"/>
      <c r="R29" s="1152">
        <f t="shared" si="3"/>
        <v>385</v>
      </c>
      <c r="S29" s="1141">
        <f t="shared" si="4"/>
        <v>77</v>
      </c>
      <c r="T29" s="1068"/>
      <c r="U29" s="1378">
        <v>280</v>
      </c>
      <c r="V29" s="1328">
        <v>385</v>
      </c>
      <c r="W29" s="1229"/>
    </row>
    <row r="30" spans="1:23" ht="15">
      <c r="A30" s="1299" t="s">
        <v>564</v>
      </c>
      <c r="B30" s="1238" t="s">
        <v>688</v>
      </c>
      <c r="C30" s="491">
        <v>10408</v>
      </c>
      <c r="D30" s="491">
        <v>11792</v>
      </c>
      <c r="E30" s="1237">
        <v>521</v>
      </c>
      <c r="F30" s="1207">
        <v>6236</v>
      </c>
      <c r="G30" s="1207">
        <v>6825</v>
      </c>
      <c r="H30" s="1315">
        <v>7396</v>
      </c>
      <c r="I30" s="1229">
        <v>7482</v>
      </c>
      <c r="J30" s="1229">
        <v>7565</v>
      </c>
      <c r="K30" s="1229">
        <v>7869</v>
      </c>
      <c r="L30" s="1324">
        <v>7540</v>
      </c>
      <c r="M30" s="1324">
        <v>7586</v>
      </c>
      <c r="N30" s="1324">
        <v>1975</v>
      </c>
      <c r="O30" s="1342">
        <f t="shared" si="1"/>
        <v>1909</v>
      </c>
      <c r="P30" s="992">
        <f t="shared" si="2"/>
        <v>2076</v>
      </c>
      <c r="Q30" s="992"/>
      <c r="R30" s="1152">
        <f t="shared" si="3"/>
        <v>5960</v>
      </c>
      <c r="S30" s="1141">
        <f t="shared" si="4"/>
        <v>78.56577906670182</v>
      </c>
      <c r="T30" s="1068"/>
      <c r="U30" s="1393">
        <v>3884</v>
      </c>
      <c r="V30" s="1328">
        <v>5960</v>
      </c>
      <c r="W30" s="1229"/>
    </row>
    <row r="31" spans="1:23" ht="15">
      <c r="A31" s="1299" t="s">
        <v>566</v>
      </c>
      <c r="B31" s="1238" t="s">
        <v>689</v>
      </c>
      <c r="C31" s="491">
        <v>3640</v>
      </c>
      <c r="D31" s="491">
        <v>4174</v>
      </c>
      <c r="E31" s="1237" t="s">
        <v>568</v>
      </c>
      <c r="F31" s="1207">
        <v>2438</v>
      </c>
      <c r="G31" s="1207">
        <v>2649</v>
      </c>
      <c r="H31" s="1315">
        <v>2738</v>
      </c>
      <c r="I31" s="1229">
        <v>2976</v>
      </c>
      <c r="J31" s="1229">
        <v>2862</v>
      </c>
      <c r="K31" s="1229">
        <v>2807</v>
      </c>
      <c r="L31" s="1324">
        <v>2639</v>
      </c>
      <c r="M31" s="1324">
        <v>2654</v>
      </c>
      <c r="N31" s="1324">
        <v>736</v>
      </c>
      <c r="O31" s="1342">
        <f t="shared" si="1"/>
        <v>678</v>
      </c>
      <c r="P31" s="992">
        <f t="shared" si="2"/>
        <v>740</v>
      </c>
      <c r="Q31" s="992"/>
      <c r="R31" s="1152">
        <f t="shared" si="3"/>
        <v>2154</v>
      </c>
      <c r="S31" s="1141">
        <f t="shared" si="4"/>
        <v>81.16051243406179</v>
      </c>
      <c r="T31" s="1068"/>
      <c r="U31" s="1393">
        <v>1414</v>
      </c>
      <c r="V31" s="1328">
        <v>2154</v>
      </c>
      <c r="W31" s="1229"/>
    </row>
    <row r="32" spans="1:23" ht="15">
      <c r="A32" s="1299" t="s">
        <v>569</v>
      </c>
      <c r="B32" s="1236" t="s">
        <v>690</v>
      </c>
      <c r="C32" s="491">
        <v>0</v>
      </c>
      <c r="D32" s="491">
        <v>0</v>
      </c>
      <c r="E32" s="1237">
        <v>557</v>
      </c>
      <c r="F32" s="1207"/>
      <c r="G32" s="1207"/>
      <c r="H32" s="1315"/>
      <c r="I32" s="1229"/>
      <c r="J32" s="1229"/>
      <c r="K32" s="1229"/>
      <c r="L32" s="1324"/>
      <c r="M32" s="1324"/>
      <c r="N32" s="1324"/>
      <c r="O32" s="1342">
        <f t="shared" si="1"/>
        <v>0</v>
      </c>
      <c r="P32" s="992">
        <f t="shared" si="2"/>
        <v>0</v>
      </c>
      <c r="Q32" s="992"/>
      <c r="R32" s="1152">
        <f t="shared" si="3"/>
        <v>0</v>
      </c>
      <c r="S32" s="1141" t="e">
        <f t="shared" si="4"/>
        <v>#DIV/0!</v>
      </c>
      <c r="T32" s="1068"/>
      <c r="U32" s="1393"/>
      <c r="V32" s="1328"/>
      <c r="W32" s="1229"/>
    </row>
    <row r="33" spans="1:23" ht="15">
      <c r="A33" s="1299" t="s">
        <v>571</v>
      </c>
      <c r="B33" s="1236" t="s">
        <v>691</v>
      </c>
      <c r="C33" s="491">
        <v>1711</v>
      </c>
      <c r="D33" s="491">
        <v>1801</v>
      </c>
      <c r="E33" s="1237">
        <v>551</v>
      </c>
      <c r="F33" s="1207">
        <v>72</v>
      </c>
      <c r="G33" s="1207">
        <v>64</v>
      </c>
      <c r="H33" s="1315">
        <v>48</v>
      </c>
      <c r="I33" s="1229">
        <v>57</v>
      </c>
      <c r="J33" s="1229">
        <v>57</v>
      </c>
      <c r="K33" s="1229">
        <v>57</v>
      </c>
      <c r="L33" s="1324"/>
      <c r="M33" s="1324"/>
      <c r="N33" s="1324">
        <v>13</v>
      </c>
      <c r="O33" s="1342">
        <f t="shared" si="1"/>
        <v>14</v>
      </c>
      <c r="P33" s="992">
        <f t="shared" si="2"/>
        <v>13</v>
      </c>
      <c r="Q33" s="992"/>
      <c r="R33" s="1152">
        <f t="shared" si="3"/>
        <v>40</v>
      </c>
      <c r="S33" s="1141" t="e">
        <f t="shared" si="4"/>
        <v>#DIV/0!</v>
      </c>
      <c r="T33" s="1068"/>
      <c r="U33" s="1393">
        <v>27</v>
      </c>
      <c r="V33" s="1328">
        <v>40</v>
      </c>
      <c r="W33" s="1229"/>
    </row>
    <row r="34" spans="1:23" ht="15.75" thickBot="1">
      <c r="A34" s="1279" t="s">
        <v>573</v>
      </c>
      <c r="B34" s="1239" t="s">
        <v>692</v>
      </c>
      <c r="C34" s="1212">
        <v>569</v>
      </c>
      <c r="D34" s="1212">
        <v>614</v>
      </c>
      <c r="E34" s="1240" t="s">
        <v>574</v>
      </c>
      <c r="F34" s="1214">
        <v>68</v>
      </c>
      <c r="G34" s="1214">
        <v>58</v>
      </c>
      <c r="H34" s="1361">
        <v>65</v>
      </c>
      <c r="I34" s="1241">
        <v>48</v>
      </c>
      <c r="J34" s="1241">
        <v>48</v>
      </c>
      <c r="K34" s="1241">
        <v>227</v>
      </c>
      <c r="L34" s="1335">
        <v>208</v>
      </c>
      <c r="M34" s="1335">
        <v>210</v>
      </c>
      <c r="N34" s="1336">
        <v>48</v>
      </c>
      <c r="O34" s="1392">
        <f t="shared" si="1"/>
        <v>62</v>
      </c>
      <c r="P34" s="1001">
        <f t="shared" si="2"/>
        <v>-18</v>
      </c>
      <c r="Q34" s="1001"/>
      <c r="R34" s="1154">
        <f t="shared" si="3"/>
        <v>92</v>
      </c>
      <c r="S34" s="1145">
        <f t="shared" si="4"/>
        <v>43.80952380952381</v>
      </c>
      <c r="T34" s="1068"/>
      <c r="U34" s="1394">
        <v>110</v>
      </c>
      <c r="V34" s="1337">
        <v>92</v>
      </c>
      <c r="W34" s="1241"/>
    </row>
    <row r="35" spans="1:23" ht="15.75" thickBot="1">
      <c r="A35" s="1338" t="s">
        <v>575</v>
      </c>
      <c r="B35" s="1242" t="s">
        <v>576</v>
      </c>
      <c r="C35" s="534">
        <f>SUM(C25:C34)</f>
        <v>25899</v>
      </c>
      <c r="D35" s="534">
        <f>SUM(D25:D34)</f>
        <v>29268</v>
      </c>
      <c r="E35" s="1243"/>
      <c r="F35" s="1157">
        <f aca="true" t="shared" si="5" ref="F35:P35">SUM(F25:F34)</f>
        <v>12756</v>
      </c>
      <c r="G35" s="1157">
        <f t="shared" si="5"/>
        <v>13601</v>
      </c>
      <c r="H35" s="1157">
        <f t="shared" si="5"/>
        <v>14908</v>
      </c>
      <c r="I35" s="1157">
        <f t="shared" si="5"/>
        <v>14639</v>
      </c>
      <c r="J35" s="1157">
        <f>SUM(J25:J34)</f>
        <v>14660</v>
      </c>
      <c r="K35" s="1157">
        <f>SUM(K25:K34)</f>
        <v>14490</v>
      </c>
      <c r="L35" s="1339">
        <f t="shared" si="5"/>
        <v>13287</v>
      </c>
      <c r="M35" s="1339">
        <f t="shared" si="5"/>
        <v>13350</v>
      </c>
      <c r="N35" s="1109">
        <f t="shared" si="5"/>
        <v>3879</v>
      </c>
      <c r="O35" s="1395">
        <f t="shared" si="5"/>
        <v>4099</v>
      </c>
      <c r="P35" s="1109">
        <f t="shared" si="5"/>
        <v>3738</v>
      </c>
      <c r="Q35" s="1384"/>
      <c r="R35" s="1157">
        <f t="shared" si="3"/>
        <v>11716</v>
      </c>
      <c r="S35" s="1158">
        <f t="shared" si="4"/>
        <v>87.76029962546816</v>
      </c>
      <c r="T35" s="1068"/>
      <c r="U35" s="1157">
        <f>SUM(U25:U34)</f>
        <v>7978</v>
      </c>
      <c r="V35" s="1157">
        <f>SUM(V25:V34)</f>
        <v>11716</v>
      </c>
      <c r="W35" s="1157">
        <f>SUM(W25:W34)</f>
        <v>0</v>
      </c>
    </row>
    <row r="36" spans="1:23" ht="15">
      <c r="A36" s="1293" t="s">
        <v>577</v>
      </c>
      <c r="B36" s="1233" t="s">
        <v>693</v>
      </c>
      <c r="C36" s="501">
        <v>0</v>
      </c>
      <c r="D36" s="501">
        <v>0</v>
      </c>
      <c r="E36" s="1234">
        <v>601</v>
      </c>
      <c r="F36" s="1244">
        <v>811</v>
      </c>
      <c r="G36" s="1244">
        <v>932</v>
      </c>
      <c r="H36" s="1314">
        <v>857</v>
      </c>
      <c r="I36" s="1235">
        <v>844</v>
      </c>
      <c r="J36" s="1235">
        <v>933</v>
      </c>
      <c r="K36" s="1235">
        <v>934</v>
      </c>
      <c r="L36" s="1320"/>
      <c r="M36" s="1341"/>
      <c r="N36" s="1321"/>
      <c r="O36" s="1342">
        <f t="shared" si="1"/>
        <v>0</v>
      </c>
      <c r="P36" s="1396">
        <f t="shared" si="2"/>
        <v>0</v>
      </c>
      <c r="Q36" s="983"/>
      <c r="R36" s="1150">
        <f t="shared" si="3"/>
        <v>0</v>
      </c>
      <c r="S36" s="1138" t="e">
        <f t="shared" si="4"/>
        <v>#DIV/0!</v>
      </c>
      <c r="T36" s="1068"/>
      <c r="U36" s="1397"/>
      <c r="V36" s="1334"/>
      <c r="W36" s="1235"/>
    </row>
    <row r="37" spans="1:23" ht="15">
      <c r="A37" s="1299" t="s">
        <v>579</v>
      </c>
      <c r="B37" s="1236" t="s">
        <v>694</v>
      </c>
      <c r="C37" s="491">
        <v>1190</v>
      </c>
      <c r="D37" s="491">
        <v>1857</v>
      </c>
      <c r="E37" s="1237">
        <v>602</v>
      </c>
      <c r="F37" s="1207">
        <v>278</v>
      </c>
      <c r="G37" s="1207">
        <v>380</v>
      </c>
      <c r="H37" s="1315">
        <v>309</v>
      </c>
      <c r="I37" s="1229">
        <v>272</v>
      </c>
      <c r="J37" s="1229">
        <v>69</v>
      </c>
      <c r="K37" s="1229">
        <v>12</v>
      </c>
      <c r="L37" s="1324"/>
      <c r="M37" s="1325"/>
      <c r="N37" s="1324">
        <v>186</v>
      </c>
      <c r="O37" s="1342">
        <f t="shared" si="1"/>
        <v>-2</v>
      </c>
      <c r="P37" s="1398">
        <f t="shared" si="2"/>
        <v>54</v>
      </c>
      <c r="Q37" s="992"/>
      <c r="R37" s="1152">
        <f t="shared" si="3"/>
        <v>238</v>
      </c>
      <c r="S37" s="1141" t="e">
        <f t="shared" si="4"/>
        <v>#DIV/0!</v>
      </c>
      <c r="T37" s="1068"/>
      <c r="U37" s="1393">
        <v>184</v>
      </c>
      <c r="V37" s="1328">
        <v>238</v>
      </c>
      <c r="W37" s="1229"/>
    </row>
    <row r="38" spans="1:23" ht="15">
      <c r="A38" s="1299" t="s">
        <v>581</v>
      </c>
      <c r="B38" s="1236" t="s">
        <v>695</v>
      </c>
      <c r="C38" s="491">
        <v>0</v>
      </c>
      <c r="D38" s="491">
        <v>0</v>
      </c>
      <c r="E38" s="1237">
        <v>604</v>
      </c>
      <c r="F38" s="1207"/>
      <c r="G38" s="1207">
        <v>5</v>
      </c>
      <c r="H38" s="1315"/>
      <c r="I38" s="1229"/>
      <c r="J38" s="1229"/>
      <c r="K38" s="1229"/>
      <c r="L38" s="1324"/>
      <c r="M38" s="1325"/>
      <c r="N38" s="1324"/>
      <c r="O38" s="1342">
        <f t="shared" si="1"/>
        <v>0</v>
      </c>
      <c r="P38" s="1398">
        <f t="shared" si="2"/>
        <v>0</v>
      </c>
      <c r="Q38" s="992"/>
      <c r="R38" s="1152">
        <f t="shared" si="3"/>
        <v>0</v>
      </c>
      <c r="S38" s="1141" t="e">
        <f t="shared" si="4"/>
        <v>#DIV/0!</v>
      </c>
      <c r="T38" s="1068"/>
      <c r="U38" s="1393">
        <v>0</v>
      </c>
      <c r="V38" s="1328"/>
      <c r="W38" s="1229"/>
    </row>
    <row r="39" spans="1:23" ht="15">
      <c r="A39" s="1299" t="s">
        <v>583</v>
      </c>
      <c r="B39" s="1236" t="s">
        <v>696</v>
      </c>
      <c r="C39" s="491">
        <v>12472</v>
      </c>
      <c r="D39" s="491">
        <v>13728</v>
      </c>
      <c r="E39" s="1237" t="s">
        <v>585</v>
      </c>
      <c r="F39" s="1207">
        <v>11310</v>
      </c>
      <c r="G39" s="1207">
        <v>11943</v>
      </c>
      <c r="H39" s="1315">
        <v>13364</v>
      </c>
      <c r="I39" s="1229">
        <v>12980</v>
      </c>
      <c r="J39" s="1229">
        <v>12991</v>
      </c>
      <c r="K39" s="1229">
        <v>13186</v>
      </c>
      <c r="L39" s="1324">
        <f>L35</f>
        <v>13287</v>
      </c>
      <c r="M39" s="1325">
        <v>13350</v>
      </c>
      <c r="N39" s="1324">
        <v>3442</v>
      </c>
      <c r="O39" s="1342">
        <f t="shared" si="1"/>
        <v>3726</v>
      </c>
      <c r="P39" s="1398">
        <f t="shared" si="2"/>
        <v>3524</v>
      </c>
      <c r="Q39" s="992"/>
      <c r="R39" s="1152">
        <f t="shared" si="3"/>
        <v>10692</v>
      </c>
      <c r="S39" s="1141">
        <f t="shared" si="4"/>
        <v>80.08988764044945</v>
      </c>
      <c r="T39" s="1068"/>
      <c r="U39" s="1393">
        <v>7168</v>
      </c>
      <c r="V39" s="1328">
        <v>10692</v>
      </c>
      <c r="W39" s="1229"/>
    </row>
    <row r="40" spans="1:23" ht="15.75" thickBot="1">
      <c r="A40" s="1279" t="s">
        <v>586</v>
      </c>
      <c r="B40" s="1239" t="s">
        <v>692</v>
      </c>
      <c r="C40" s="1212">
        <v>12330</v>
      </c>
      <c r="D40" s="1212">
        <v>13218</v>
      </c>
      <c r="E40" s="1240" t="s">
        <v>587</v>
      </c>
      <c r="F40" s="1214">
        <v>361</v>
      </c>
      <c r="G40" s="1214">
        <v>369</v>
      </c>
      <c r="H40" s="1361">
        <v>411</v>
      </c>
      <c r="I40" s="1241">
        <v>550</v>
      </c>
      <c r="J40" s="1241">
        <v>667</v>
      </c>
      <c r="K40" s="1241">
        <v>487</v>
      </c>
      <c r="L40" s="1335"/>
      <c r="M40" s="1343"/>
      <c r="N40" s="1336">
        <v>251</v>
      </c>
      <c r="O40" s="1342">
        <f t="shared" si="1"/>
        <v>375</v>
      </c>
      <c r="P40" s="1399">
        <f t="shared" si="2"/>
        <v>160</v>
      </c>
      <c r="Q40" s="1001"/>
      <c r="R40" s="1154">
        <f t="shared" si="3"/>
        <v>786</v>
      </c>
      <c r="S40" s="1145" t="e">
        <f t="shared" si="4"/>
        <v>#DIV/0!</v>
      </c>
      <c r="T40" s="1068"/>
      <c r="U40" s="1394">
        <v>626</v>
      </c>
      <c r="V40" s="1337">
        <v>786</v>
      </c>
      <c r="W40" s="1241"/>
    </row>
    <row r="41" spans="1:23" ht="15.75" thickBot="1">
      <c r="A41" s="1338" t="s">
        <v>588</v>
      </c>
      <c r="B41" s="1242" t="s">
        <v>589</v>
      </c>
      <c r="C41" s="534">
        <f>SUM(C36:C40)</f>
        <v>25992</v>
      </c>
      <c r="D41" s="534">
        <f>SUM(D36:D40)</f>
        <v>28803</v>
      </c>
      <c r="E41" s="1243" t="s">
        <v>521</v>
      </c>
      <c r="F41" s="1157">
        <f aca="true" t="shared" si="6" ref="F41:Q41">SUM(F36:F40)</f>
        <v>12760</v>
      </c>
      <c r="G41" s="1157">
        <f t="shared" si="6"/>
        <v>13629</v>
      </c>
      <c r="H41" s="1157">
        <f t="shared" si="6"/>
        <v>14941</v>
      </c>
      <c r="I41" s="1157">
        <f t="shared" si="6"/>
        <v>14646</v>
      </c>
      <c r="J41" s="1157">
        <f>SUM(J36:J40)</f>
        <v>14660</v>
      </c>
      <c r="K41" s="1157">
        <f>SUM(K36:K40)</f>
        <v>14619</v>
      </c>
      <c r="L41" s="1339">
        <f t="shared" si="6"/>
        <v>13287</v>
      </c>
      <c r="M41" s="1109">
        <f t="shared" si="6"/>
        <v>13350</v>
      </c>
      <c r="N41" s="1157">
        <f t="shared" si="6"/>
        <v>3879</v>
      </c>
      <c r="O41" s="1157">
        <f t="shared" si="6"/>
        <v>4099</v>
      </c>
      <c r="P41" s="1157">
        <f t="shared" si="6"/>
        <v>3738</v>
      </c>
      <c r="Q41" s="1400">
        <f t="shared" si="6"/>
        <v>0</v>
      </c>
      <c r="R41" s="1345">
        <f t="shared" si="3"/>
        <v>11716</v>
      </c>
      <c r="S41" s="1158">
        <f t="shared" si="4"/>
        <v>87.76029962546816</v>
      </c>
      <c r="T41" s="1068"/>
      <c r="U41" s="1157">
        <f>SUM(U36:U40)</f>
        <v>7978</v>
      </c>
      <c r="V41" s="1157">
        <f>SUM(V36:V40)</f>
        <v>11716</v>
      </c>
      <c r="W41" s="1157">
        <f>SUM(W36:W40)</f>
        <v>0</v>
      </c>
    </row>
    <row r="42" spans="1:23" ht="6.75" customHeight="1" thickBot="1">
      <c r="A42" s="1279"/>
      <c r="B42" s="472"/>
      <c r="C42" s="430"/>
      <c r="D42" s="430"/>
      <c r="E42" s="1245"/>
      <c r="F42" s="1214"/>
      <c r="G42" s="1214"/>
      <c r="H42" s="1214"/>
      <c r="I42" s="1246"/>
      <c r="J42" s="1246"/>
      <c r="K42" s="1246"/>
      <c r="L42" s="1346"/>
      <c r="M42" s="1347"/>
      <c r="N42" s="1214"/>
      <c r="O42" s="1326"/>
      <c r="P42" s="1348"/>
      <c r="Q42" s="1039"/>
      <c r="R42" s="1137"/>
      <c r="S42" s="1138"/>
      <c r="T42" s="1068"/>
      <c r="U42" s="1361"/>
      <c r="V42" s="1246"/>
      <c r="W42" s="1246"/>
    </row>
    <row r="43" spans="1:23" ht="15.75" thickBot="1">
      <c r="A43" s="1349" t="s">
        <v>590</v>
      </c>
      <c r="B43" s="1247" t="s">
        <v>552</v>
      </c>
      <c r="C43" s="534">
        <f>+C41-C39</f>
        <v>13520</v>
      </c>
      <c r="D43" s="534">
        <f>+D41-D39</f>
        <v>15075</v>
      </c>
      <c r="E43" s="1243" t="s">
        <v>521</v>
      </c>
      <c r="F43" s="1157">
        <f aca="true" t="shared" si="7" ref="F43:Q43">F41-F39</f>
        <v>1450</v>
      </c>
      <c r="G43" s="1157">
        <f t="shared" si="7"/>
        <v>1686</v>
      </c>
      <c r="H43" s="1157">
        <f t="shared" si="7"/>
        <v>1577</v>
      </c>
      <c r="I43" s="1157">
        <f>I41-I39</f>
        <v>1666</v>
      </c>
      <c r="J43" s="1157">
        <f>J41-J39</f>
        <v>1669</v>
      </c>
      <c r="K43" s="1157">
        <f>K41-K39</f>
        <v>1433</v>
      </c>
      <c r="L43" s="1157">
        <f>L41-L39</f>
        <v>0</v>
      </c>
      <c r="M43" s="1158">
        <f t="shared" si="7"/>
        <v>0</v>
      </c>
      <c r="N43" s="1157">
        <f t="shared" si="7"/>
        <v>437</v>
      </c>
      <c r="O43" s="1157">
        <f t="shared" si="7"/>
        <v>373</v>
      </c>
      <c r="P43" s="1157">
        <f t="shared" si="7"/>
        <v>214</v>
      </c>
      <c r="Q43" s="1246">
        <f t="shared" si="7"/>
        <v>0</v>
      </c>
      <c r="R43" s="1137">
        <f t="shared" si="3"/>
        <v>1024</v>
      </c>
      <c r="S43" s="1138" t="e">
        <f t="shared" si="4"/>
        <v>#DIV/0!</v>
      </c>
      <c r="T43" s="1068"/>
      <c r="U43" s="1157">
        <f>U41-U39</f>
        <v>810</v>
      </c>
      <c r="V43" s="1157">
        <f>V41-V39</f>
        <v>1024</v>
      </c>
      <c r="W43" s="1157">
        <f>W41-W39</f>
        <v>0</v>
      </c>
    </row>
    <row r="44" spans="1:23" ht="15.75" thickBot="1">
      <c r="A44" s="1338" t="s">
        <v>591</v>
      </c>
      <c r="B44" s="1247" t="s">
        <v>592</v>
      </c>
      <c r="C44" s="534">
        <f>+C41-C35</f>
        <v>93</v>
      </c>
      <c r="D44" s="534">
        <f>+D41-D35</f>
        <v>-465</v>
      </c>
      <c r="E44" s="1243" t="s">
        <v>521</v>
      </c>
      <c r="F44" s="1157">
        <f aca="true" t="shared" si="8" ref="F44:Q44">F41-F35</f>
        <v>4</v>
      </c>
      <c r="G44" s="1157">
        <f t="shared" si="8"/>
        <v>28</v>
      </c>
      <c r="H44" s="1157">
        <f t="shared" si="8"/>
        <v>33</v>
      </c>
      <c r="I44" s="1157">
        <f>I41-I35</f>
        <v>7</v>
      </c>
      <c r="J44" s="1157">
        <f>J41-J35</f>
        <v>0</v>
      </c>
      <c r="K44" s="1157">
        <f>K41-K35</f>
        <v>129</v>
      </c>
      <c r="L44" s="1157">
        <f>L41-L35</f>
        <v>0</v>
      </c>
      <c r="M44" s="1158">
        <f t="shared" si="8"/>
        <v>0</v>
      </c>
      <c r="N44" s="1157">
        <f t="shared" si="8"/>
        <v>0</v>
      </c>
      <c r="O44" s="1157">
        <f t="shared" si="8"/>
        <v>0</v>
      </c>
      <c r="P44" s="1157">
        <f t="shared" si="8"/>
        <v>0</v>
      </c>
      <c r="Q44" s="1246">
        <f t="shared" si="8"/>
        <v>0</v>
      </c>
      <c r="R44" s="1137">
        <f t="shared" si="3"/>
        <v>0</v>
      </c>
      <c r="S44" s="1138" t="e">
        <f t="shared" si="4"/>
        <v>#DIV/0!</v>
      </c>
      <c r="T44" s="1068"/>
      <c r="U44" s="1157">
        <f>U41-U35</f>
        <v>0</v>
      </c>
      <c r="V44" s="1157">
        <f>V41-V35</f>
        <v>0</v>
      </c>
      <c r="W44" s="1157">
        <f>W41-W35</f>
        <v>0</v>
      </c>
    </row>
    <row r="45" spans="1:23" ht="15.75" thickBot="1">
      <c r="A45" s="1350" t="s">
        <v>593</v>
      </c>
      <c r="B45" s="1248" t="s">
        <v>552</v>
      </c>
      <c r="C45" s="522">
        <f>+C44-C39</f>
        <v>-12379</v>
      </c>
      <c r="D45" s="522">
        <f>+D44-D39</f>
        <v>-14193</v>
      </c>
      <c r="E45" s="1249" t="s">
        <v>521</v>
      </c>
      <c r="F45" s="1157">
        <f aca="true" t="shared" si="9" ref="F45:Q45">F44-F39</f>
        <v>-11306</v>
      </c>
      <c r="G45" s="1157">
        <f t="shared" si="9"/>
        <v>-11915</v>
      </c>
      <c r="H45" s="1157">
        <f t="shared" si="9"/>
        <v>-13331</v>
      </c>
      <c r="I45" s="1157">
        <f t="shared" si="9"/>
        <v>-12973</v>
      </c>
      <c r="J45" s="1157">
        <f>J44-J39</f>
        <v>-12991</v>
      </c>
      <c r="K45" s="1157">
        <f>K44-K39</f>
        <v>-13057</v>
      </c>
      <c r="L45" s="1157">
        <f t="shared" si="9"/>
        <v>-13287</v>
      </c>
      <c r="M45" s="1158">
        <f t="shared" si="9"/>
        <v>-13350</v>
      </c>
      <c r="N45" s="1157">
        <f t="shared" si="9"/>
        <v>-3442</v>
      </c>
      <c r="O45" s="1157">
        <f t="shared" si="9"/>
        <v>-3726</v>
      </c>
      <c r="P45" s="1157">
        <f t="shared" si="9"/>
        <v>-3524</v>
      </c>
      <c r="Q45" s="1246">
        <f t="shared" si="9"/>
        <v>0</v>
      </c>
      <c r="R45" s="1137">
        <f t="shared" si="3"/>
        <v>-10692</v>
      </c>
      <c r="S45" s="1158">
        <f t="shared" si="4"/>
        <v>80.08988764044945</v>
      </c>
      <c r="T45" s="1068"/>
      <c r="U45" s="1157">
        <f>U44-U39</f>
        <v>-7168</v>
      </c>
      <c r="V45" s="1157">
        <f>V44-V39</f>
        <v>-10692</v>
      </c>
      <c r="W45" s="1157">
        <f>W44-W39</f>
        <v>0</v>
      </c>
    </row>
    <row r="46" ht="12.75">
      <c r="A46" s="1053"/>
    </row>
    <row r="47" spans="1:5" ht="12.75">
      <c r="A47" s="114"/>
      <c r="B47" s="1401"/>
      <c r="C47" s="108" t="s">
        <v>723</v>
      </c>
      <c r="E47" s="1351" t="s">
        <v>724</v>
      </c>
    </row>
    <row r="48" ht="12.75">
      <c r="A48" s="1053"/>
    </row>
    <row r="49" spans="1:23" ht="14.25">
      <c r="A49" s="893" t="s">
        <v>697</v>
      </c>
      <c r="R49" s="108"/>
      <c r="S49" s="108"/>
      <c r="T49" s="108"/>
      <c r="U49" s="108"/>
      <c r="V49" s="108"/>
      <c r="W49" s="108"/>
    </row>
    <row r="50" spans="1:23" ht="14.25">
      <c r="A50" s="894" t="s">
        <v>698</v>
      </c>
      <c r="R50" s="108"/>
      <c r="S50" s="108"/>
      <c r="T50" s="108"/>
      <c r="U50" s="108"/>
      <c r="V50" s="108"/>
      <c r="W50" s="108"/>
    </row>
    <row r="51" spans="1:23" ht="14.25">
      <c r="A51" s="1352" t="s">
        <v>699</v>
      </c>
      <c r="R51" s="108"/>
      <c r="S51" s="108"/>
      <c r="T51" s="108"/>
      <c r="U51" s="108"/>
      <c r="V51" s="108"/>
      <c r="W51" s="108"/>
    </row>
    <row r="52" spans="1:23" ht="14.25">
      <c r="A52" s="1353"/>
      <c r="R52" s="108"/>
      <c r="S52" s="108"/>
      <c r="T52" s="108"/>
      <c r="U52" s="108"/>
      <c r="V52" s="108"/>
      <c r="W52" s="108"/>
    </row>
    <row r="53" spans="1:23" ht="12.75">
      <c r="A53" s="1053" t="s">
        <v>725</v>
      </c>
      <c r="R53" s="108"/>
      <c r="S53" s="108"/>
      <c r="T53" s="108"/>
      <c r="U53" s="108"/>
      <c r="V53" s="108"/>
      <c r="W53" s="108"/>
    </row>
    <row r="54" spans="1:23" ht="12.75">
      <c r="A54" s="1053"/>
      <c r="R54" s="108"/>
      <c r="S54" s="108"/>
      <c r="T54" s="108"/>
      <c r="U54" s="108"/>
      <c r="V54" s="108"/>
      <c r="W54" s="108"/>
    </row>
    <row r="55" spans="1:23" ht="12.75">
      <c r="A55" s="1053" t="s">
        <v>726</v>
      </c>
      <c r="R55" s="108"/>
      <c r="S55" s="108"/>
      <c r="T55" s="108"/>
      <c r="U55" s="108"/>
      <c r="V55" s="108"/>
      <c r="W55" s="108"/>
    </row>
    <row r="56" ht="12.75">
      <c r="A56" s="1053" t="s">
        <v>716</v>
      </c>
    </row>
    <row r="57" ht="12.75">
      <c r="A57" s="1053"/>
    </row>
    <row r="58" ht="12.75">
      <c r="A58" s="1053"/>
    </row>
    <row r="59" ht="12.75">
      <c r="A59" s="1053"/>
    </row>
    <row r="60" ht="12.75">
      <c r="A60" s="1053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10.8515625" style="108" hidden="1" customWidth="1"/>
    <col min="5" max="5" width="6.421875" style="576" customWidth="1"/>
    <col min="6" max="6" width="11.7109375" style="896" hidden="1" customWidth="1"/>
    <col min="7" max="9" width="11.57421875" style="896" hidden="1" customWidth="1"/>
    <col min="10" max="11" width="11.57421875" style="1068" hidden="1" customWidth="1"/>
    <col min="12" max="12" width="11.57421875" style="1068" customWidth="1"/>
    <col min="13" max="13" width="11.421875" style="1068" customWidth="1"/>
    <col min="14" max="14" width="9.8515625" style="1068" customWidth="1"/>
    <col min="15" max="15" width="9.140625" style="1068" customWidth="1"/>
    <col min="16" max="16" width="9.28125" style="1068" customWidth="1"/>
    <col min="17" max="17" width="9.140625" style="1068" customWidth="1"/>
    <col min="18" max="18" width="12.00390625" style="1068" customWidth="1"/>
    <col min="19" max="19" width="9.140625" style="1443" customWidth="1"/>
    <col min="20" max="20" width="3.421875" style="1068" customWidth="1"/>
    <col min="21" max="21" width="12.57421875" style="1068" customWidth="1"/>
    <col min="22" max="22" width="11.8515625" style="1068" customWidth="1"/>
    <col min="23" max="23" width="12.421875" style="1068" customWidth="1"/>
    <col min="24" max="33" width="9.140625" style="496" customWidth="1"/>
    <col min="34" max="16384" width="9.140625" style="108" customWidth="1"/>
  </cols>
  <sheetData>
    <row r="1" spans="1:33" ht="18">
      <c r="A1" s="1354" t="s">
        <v>665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1355"/>
      <c r="R1" s="1355"/>
      <c r="S1" s="1355"/>
      <c r="T1" s="1355"/>
      <c r="U1" s="1355"/>
      <c r="V1" s="1355"/>
      <c r="W1" s="1355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14" ht="21.75" customHeight="1">
      <c r="A2" s="895" t="s">
        <v>595</v>
      </c>
      <c r="B2" s="896"/>
      <c r="M2" s="1442"/>
      <c r="N2" s="1442"/>
    </row>
    <row r="3" spans="1:14" ht="12.75">
      <c r="A3" s="902"/>
      <c r="M3" s="1442"/>
      <c r="N3" s="1442"/>
    </row>
    <row r="4" spans="1:14" ht="13.5" thickBot="1">
      <c r="A4" s="1053"/>
      <c r="B4" s="186"/>
      <c r="C4" s="186"/>
      <c r="D4" s="186"/>
      <c r="E4" s="577"/>
      <c r="F4" s="1444"/>
      <c r="G4" s="1444"/>
      <c r="M4" s="1442"/>
      <c r="N4" s="1442"/>
    </row>
    <row r="5" spans="1:21" ht="16.5" thickBot="1">
      <c r="A5" s="1251" t="s">
        <v>709</v>
      </c>
      <c r="B5" s="1445" t="s">
        <v>727</v>
      </c>
      <c r="C5" s="1253"/>
      <c r="D5" s="1253"/>
      <c r="E5" s="1254"/>
      <c r="F5" s="1253"/>
      <c r="G5" s="1255"/>
      <c r="H5" s="1253"/>
      <c r="I5" s="1253"/>
      <c r="J5" s="1446"/>
      <c r="K5" s="1446"/>
      <c r="L5" s="1446"/>
      <c r="M5" s="1447"/>
      <c r="N5" s="1447"/>
      <c r="O5" s="1448"/>
      <c r="P5" s="1448"/>
      <c r="Q5" s="1448"/>
      <c r="R5" s="1448"/>
      <c r="S5" s="1449"/>
      <c r="T5" s="1448"/>
      <c r="U5" s="1450"/>
    </row>
    <row r="6" spans="1:14" ht="23.25" customHeight="1" thickBot="1">
      <c r="A6" s="902" t="s">
        <v>494</v>
      </c>
      <c r="M6" s="1442"/>
      <c r="N6" s="1442"/>
    </row>
    <row r="7" spans="1:33" s="576" customFormat="1" ht="13.5" thickBot="1">
      <c r="A7" s="1451" t="s">
        <v>27</v>
      </c>
      <c r="B7" s="1452" t="s">
        <v>498</v>
      </c>
      <c r="C7" s="1453"/>
      <c r="D7" s="1453"/>
      <c r="E7" s="1452" t="s">
        <v>501</v>
      </c>
      <c r="F7" s="1453"/>
      <c r="G7" s="1453"/>
      <c r="H7" s="1452" t="s">
        <v>502</v>
      </c>
      <c r="I7" s="1454" t="s">
        <v>667</v>
      </c>
      <c r="J7" s="1454" t="s">
        <v>668</v>
      </c>
      <c r="K7" s="1454" t="s">
        <v>669</v>
      </c>
      <c r="L7" s="1261" t="s">
        <v>670</v>
      </c>
      <c r="M7" s="1262"/>
      <c r="N7" s="1261" t="s">
        <v>495</v>
      </c>
      <c r="O7" s="1268"/>
      <c r="P7" s="1268"/>
      <c r="Q7" s="1262"/>
      <c r="R7" s="1265" t="s">
        <v>671</v>
      </c>
      <c r="S7" s="1266" t="s">
        <v>497</v>
      </c>
      <c r="T7" s="1149"/>
      <c r="U7" s="1267" t="s">
        <v>672</v>
      </c>
      <c r="V7" s="1268"/>
      <c r="W7" s="1262"/>
      <c r="X7" s="1149"/>
      <c r="Y7" s="1149"/>
      <c r="Z7" s="1149"/>
      <c r="AA7" s="1149"/>
      <c r="AB7" s="1149"/>
      <c r="AC7" s="1149"/>
      <c r="AD7" s="1149"/>
      <c r="AE7" s="1149"/>
      <c r="AF7" s="1149"/>
      <c r="AG7" s="1149"/>
    </row>
    <row r="8" spans="1:33" s="576" customFormat="1" ht="13.5" thickBot="1">
      <c r="A8" s="1455"/>
      <c r="B8" s="1456"/>
      <c r="C8" s="1440" t="s">
        <v>499</v>
      </c>
      <c r="D8" s="1440" t="s">
        <v>500</v>
      </c>
      <c r="E8" s="1456"/>
      <c r="F8" s="1440" t="s">
        <v>673</v>
      </c>
      <c r="G8" s="1440" t="s">
        <v>674</v>
      </c>
      <c r="H8" s="1456"/>
      <c r="I8" s="1456"/>
      <c r="J8" s="1456"/>
      <c r="K8" s="1456"/>
      <c r="L8" s="1272" t="s">
        <v>31</v>
      </c>
      <c r="M8" s="1272" t="s">
        <v>32</v>
      </c>
      <c r="N8" s="1273" t="s">
        <v>508</v>
      </c>
      <c r="O8" s="1274" t="s">
        <v>511</v>
      </c>
      <c r="P8" s="1275" t="s">
        <v>514</v>
      </c>
      <c r="Q8" s="1276" t="s">
        <v>517</v>
      </c>
      <c r="R8" s="1272" t="s">
        <v>518</v>
      </c>
      <c r="S8" s="1277" t="s">
        <v>519</v>
      </c>
      <c r="T8" s="1149"/>
      <c r="U8" s="1365" t="s">
        <v>676</v>
      </c>
      <c r="V8" s="1366" t="s">
        <v>677</v>
      </c>
      <c r="W8" s="1366" t="s">
        <v>678</v>
      </c>
      <c r="X8" s="1149"/>
      <c r="Y8" s="1149"/>
      <c r="Z8" s="1149"/>
      <c r="AA8" s="1149"/>
      <c r="AB8" s="1149"/>
      <c r="AC8" s="1149"/>
      <c r="AD8" s="1149"/>
      <c r="AE8" s="1149"/>
      <c r="AF8" s="1149"/>
      <c r="AG8" s="1149"/>
    </row>
    <row r="9" spans="1:23" ht="12.75">
      <c r="A9" s="1457" t="s">
        <v>520</v>
      </c>
      <c r="B9" s="1404"/>
      <c r="C9" s="1405">
        <v>104</v>
      </c>
      <c r="D9" s="1405">
        <v>104</v>
      </c>
      <c r="E9" s="1406"/>
      <c r="F9" s="1407">
        <v>78</v>
      </c>
      <c r="G9" s="1407">
        <v>75</v>
      </c>
      <c r="H9" s="1407">
        <v>74</v>
      </c>
      <c r="I9" s="1407">
        <v>77</v>
      </c>
      <c r="J9" s="1198">
        <v>75</v>
      </c>
      <c r="K9" s="1198">
        <v>75</v>
      </c>
      <c r="L9" s="1458"/>
      <c r="M9" s="1458"/>
      <c r="N9" s="1281">
        <v>76</v>
      </c>
      <c r="O9" s="1296">
        <v>75</v>
      </c>
      <c r="P9" s="1282">
        <f aca="true" t="shared" si="0" ref="P9:P15">V9</f>
        <v>74.334</v>
      </c>
      <c r="Q9" s="1283"/>
      <c r="R9" s="1359" t="s">
        <v>521</v>
      </c>
      <c r="S9" s="1459" t="s">
        <v>521</v>
      </c>
      <c r="T9" s="1460"/>
      <c r="U9" s="1362">
        <v>75</v>
      </c>
      <c r="V9" s="1362">
        <v>74.334</v>
      </c>
      <c r="W9" s="1198"/>
    </row>
    <row r="10" spans="1:23" ht="13.5" thickBot="1">
      <c r="A10" s="1461" t="s">
        <v>522</v>
      </c>
      <c r="B10" s="1408"/>
      <c r="C10" s="1409">
        <v>101</v>
      </c>
      <c r="D10" s="1409">
        <v>104</v>
      </c>
      <c r="E10" s="1410"/>
      <c r="F10" s="1411">
        <v>73</v>
      </c>
      <c r="G10" s="1411">
        <v>71</v>
      </c>
      <c r="H10" s="1411">
        <v>70</v>
      </c>
      <c r="I10" s="1411">
        <v>69</v>
      </c>
      <c r="J10" s="1203">
        <v>67</v>
      </c>
      <c r="K10" s="1203">
        <v>64</v>
      </c>
      <c r="L10" s="1357"/>
      <c r="M10" s="1357"/>
      <c r="N10" s="1288">
        <v>63</v>
      </c>
      <c r="O10" s="1306">
        <v>62</v>
      </c>
      <c r="P10" s="1307">
        <f t="shared" si="0"/>
        <v>62.671</v>
      </c>
      <c r="Q10" s="1462"/>
      <c r="R10" s="1357" t="s">
        <v>521</v>
      </c>
      <c r="S10" s="1463" t="s">
        <v>521</v>
      </c>
      <c r="T10" s="1460"/>
      <c r="U10" s="1318">
        <v>62</v>
      </c>
      <c r="V10" s="1318">
        <v>62.671</v>
      </c>
      <c r="W10" s="1203"/>
    </row>
    <row r="11" spans="1:23" ht="12.75">
      <c r="A11" s="1464" t="s">
        <v>523</v>
      </c>
      <c r="B11" s="1412" t="s">
        <v>524</v>
      </c>
      <c r="C11" s="1413">
        <v>37915</v>
      </c>
      <c r="D11" s="1413">
        <v>39774</v>
      </c>
      <c r="E11" s="1414" t="s">
        <v>525</v>
      </c>
      <c r="F11" s="1393">
        <v>15286</v>
      </c>
      <c r="G11" s="1393">
        <v>16458</v>
      </c>
      <c r="H11" s="1393">
        <v>15309</v>
      </c>
      <c r="I11" s="1393">
        <v>15839</v>
      </c>
      <c r="J11" s="1208">
        <v>15783</v>
      </c>
      <c r="K11" s="1208">
        <v>15465.37</v>
      </c>
      <c r="L11" s="1385" t="s">
        <v>521</v>
      </c>
      <c r="M11" s="1385" t="s">
        <v>521</v>
      </c>
      <c r="N11" s="1295">
        <v>15718</v>
      </c>
      <c r="O11" s="1296">
        <f aca="true" t="shared" si="1" ref="O11:O21">U11</f>
        <v>15936</v>
      </c>
      <c r="P11" s="1303">
        <f t="shared" si="0"/>
        <v>16290</v>
      </c>
      <c r="Q11" s="1296"/>
      <c r="R11" s="1358" t="s">
        <v>521</v>
      </c>
      <c r="S11" s="1465" t="s">
        <v>521</v>
      </c>
      <c r="T11" s="1460"/>
      <c r="U11" s="1362">
        <v>15936</v>
      </c>
      <c r="V11" s="1428">
        <v>16290</v>
      </c>
      <c r="W11" s="1208"/>
    </row>
    <row r="12" spans="1:23" ht="12.75">
      <c r="A12" s="1466" t="s">
        <v>526</v>
      </c>
      <c r="B12" s="1415" t="s">
        <v>527</v>
      </c>
      <c r="C12" s="1416">
        <v>-16164</v>
      </c>
      <c r="D12" s="1416">
        <v>-17825</v>
      </c>
      <c r="E12" s="1414" t="s">
        <v>528</v>
      </c>
      <c r="F12" s="1393">
        <v>-14113</v>
      </c>
      <c r="G12" s="1393">
        <v>-15252</v>
      </c>
      <c r="H12" s="1393">
        <v>-14434</v>
      </c>
      <c r="I12" s="1393">
        <v>15278</v>
      </c>
      <c r="J12" s="1208">
        <v>15437</v>
      </c>
      <c r="K12" s="1208">
        <v>15081.57</v>
      </c>
      <c r="L12" s="1358" t="s">
        <v>521</v>
      </c>
      <c r="M12" s="1358" t="s">
        <v>521</v>
      </c>
      <c r="N12" s="1301">
        <v>15375</v>
      </c>
      <c r="O12" s="1302">
        <f t="shared" si="1"/>
        <v>15535</v>
      </c>
      <c r="P12" s="1303">
        <f t="shared" si="0"/>
        <v>15916</v>
      </c>
      <c r="Q12" s="1302"/>
      <c r="R12" s="1358" t="s">
        <v>521</v>
      </c>
      <c r="S12" s="1465" t="s">
        <v>521</v>
      </c>
      <c r="T12" s="1460"/>
      <c r="U12" s="1315">
        <v>15535</v>
      </c>
      <c r="V12" s="1315">
        <v>15916</v>
      </c>
      <c r="W12" s="1208"/>
    </row>
    <row r="13" spans="1:23" ht="12.75">
      <c r="A13" s="1466" t="s">
        <v>529</v>
      </c>
      <c r="B13" s="1415" t="s">
        <v>679</v>
      </c>
      <c r="C13" s="1416">
        <v>604</v>
      </c>
      <c r="D13" s="1416">
        <v>619</v>
      </c>
      <c r="E13" s="1414" t="s">
        <v>531</v>
      </c>
      <c r="F13" s="1393">
        <v>865.85</v>
      </c>
      <c r="G13" s="1393">
        <v>976.33</v>
      </c>
      <c r="H13" s="1393">
        <v>491.49</v>
      </c>
      <c r="I13" s="1393">
        <v>436</v>
      </c>
      <c r="J13" s="1208">
        <v>439</v>
      </c>
      <c r="K13" s="1208">
        <v>505.6</v>
      </c>
      <c r="L13" s="1358" t="s">
        <v>521</v>
      </c>
      <c r="M13" s="1358" t="s">
        <v>521</v>
      </c>
      <c r="N13" s="1301">
        <v>684</v>
      </c>
      <c r="O13" s="1302">
        <f t="shared" si="1"/>
        <v>557</v>
      </c>
      <c r="P13" s="1303">
        <f t="shared" si="0"/>
        <v>774</v>
      </c>
      <c r="Q13" s="1302"/>
      <c r="R13" s="1358" t="s">
        <v>521</v>
      </c>
      <c r="S13" s="1465" t="s">
        <v>521</v>
      </c>
      <c r="T13" s="1460"/>
      <c r="U13" s="1315">
        <v>557</v>
      </c>
      <c r="V13" s="1315">
        <v>774</v>
      </c>
      <c r="W13" s="1208"/>
    </row>
    <row r="14" spans="1:23" ht="12.75">
      <c r="A14" s="1466" t="s">
        <v>532</v>
      </c>
      <c r="B14" s="1415" t="s">
        <v>680</v>
      </c>
      <c r="C14" s="1416">
        <v>221</v>
      </c>
      <c r="D14" s="1416">
        <v>610</v>
      </c>
      <c r="E14" s="1414" t="s">
        <v>521</v>
      </c>
      <c r="F14" s="1393">
        <v>3059</v>
      </c>
      <c r="G14" s="1393">
        <v>3285</v>
      </c>
      <c r="H14" s="1393">
        <v>3261</v>
      </c>
      <c r="I14" s="1393">
        <v>3513</v>
      </c>
      <c r="J14" s="1208">
        <v>2787</v>
      </c>
      <c r="K14" s="1208">
        <v>3527.8</v>
      </c>
      <c r="L14" s="1358" t="s">
        <v>521</v>
      </c>
      <c r="M14" s="1390" t="s">
        <v>521</v>
      </c>
      <c r="N14" s="1301">
        <v>8338</v>
      </c>
      <c r="O14" s="1302">
        <f t="shared" si="1"/>
        <v>7081</v>
      </c>
      <c r="P14" s="1303">
        <f t="shared" si="0"/>
        <v>5499</v>
      </c>
      <c r="Q14" s="1302"/>
      <c r="R14" s="1358" t="s">
        <v>521</v>
      </c>
      <c r="S14" s="1465" t="s">
        <v>521</v>
      </c>
      <c r="T14" s="1460"/>
      <c r="U14" s="1315">
        <v>7081</v>
      </c>
      <c r="V14" s="1315">
        <v>5499</v>
      </c>
      <c r="W14" s="1208"/>
    </row>
    <row r="15" spans="1:23" ht="13.5" thickBot="1">
      <c r="A15" s="1457" t="s">
        <v>534</v>
      </c>
      <c r="B15" s="1417" t="s">
        <v>681</v>
      </c>
      <c r="C15" s="1418">
        <v>2021</v>
      </c>
      <c r="D15" s="1418">
        <v>852</v>
      </c>
      <c r="E15" s="1419" t="s">
        <v>536</v>
      </c>
      <c r="F15" s="1420">
        <v>6163</v>
      </c>
      <c r="G15" s="1420">
        <v>5169</v>
      </c>
      <c r="H15" s="1420">
        <v>4914</v>
      </c>
      <c r="I15" s="1420">
        <v>5727</v>
      </c>
      <c r="J15" s="1215">
        <v>6338</v>
      </c>
      <c r="K15" s="1215">
        <v>6522</v>
      </c>
      <c r="L15" s="1467" t="s">
        <v>521</v>
      </c>
      <c r="M15" s="1468" t="s">
        <v>521</v>
      </c>
      <c r="N15" s="1305">
        <v>8010</v>
      </c>
      <c r="O15" s="1469">
        <f t="shared" si="1"/>
        <v>9739</v>
      </c>
      <c r="P15" s="1303">
        <f t="shared" si="0"/>
        <v>7156</v>
      </c>
      <c r="Q15" s="1306"/>
      <c r="R15" s="1359" t="s">
        <v>521</v>
      </c>
      <c r="S15" s="1459" t="s">
        <v>521</v>
      </c>
      <c r="T15" s="1460"/>
      <c r="U15" s="1470">
        <v>9739</v>
      </c>
      <c r="V15" s="1470">
        <v>7156</v>
      </c>
      <c r="W15" s="1215"/>
    </row>
    <row r="16" spans="1:23" ht="13.5" thickBot="1">
      <c r="A16" s="1471" t="s">
        <v>537</v>
      </c>
      <c r="B16" s="1421"/>
      <c r="C16" s="1422">
        <v>24618</v>
      </c>
      <c r="D16" s="1422">
        <v>24087</v>
      </c>
      <c r="E16" s="1423"/>
      <c r="F16" s="1360">
        <v>11306</v>
      </c>
      <c r="G16" s="1360">
        <v>10667</v>
      </c>
      <c r="H16" s="1360">
        <v>9554</v>
      </c>
      <c r="I16" s="1360">
        <v>10237</v>
      </c>
      <c r="J16" s="1219">
        <f>J11-J12+J13+J14+J15</f>
        <v>9910</v>
      </c>
      <c r="K16" s="1219">
        <f>K11-K12+K13+K14+K15</f>
        <v>10939.2</v>
      </c>
      <c r="L16" s="1081" t="s">
        <v>521</v>
      </c>
      <c r="M16" s="1382" t="s">
        <v>521</v>
      </c>
      <c r="N16" s="1309">
        <f>N11-N12+N13+N14+N15</f>
        <v>17375</v>
      </c>
      <c r="O16" s="1219">
        <f>O11-O12+O13+O14+O15</f>
        <v>17778</v>
      </c>
      <c r="P16" s="1219">
        <f>P11-P12+P13+P14+P15</f>
        <v>13803</v>
      </c>
      <c r="Q16" s="1472"/>
      <c r="R16" s="1081" t="s">
        <v>521</v>
      </c>
      <c r="S16" s="1312" t="s">
        <v>521</v>
      </c>
      <c r="T16" s="1473"/>
      <c r="U16" s="1219">
        <f>U11-U12+U13+U14+U15</f>
        <v>17778</v>
      </c>
      <c r="V16" s="1219">
        <f>V11-V12+V13+V14+V15</f>
        <v>13803</v>
      </c>
      <c r="W16" s="1219">
        <v>0</v>
      </c>
    </row>
    <row r="17" spans="1:23" ht="12.75">
      <c r="A17" s="1457" t="s">
        <v>538</v>
      </c>
      <c r="B17" s="1412" t="s">
        <v>539</v>
      </c>
      <c r="C17" s="1413">
        <v>7043</v>
      </c>
      <c r="D17" s="1413">
        <v>7240</v>
      </c>
      <c r="E17" s="1419">
        <v>401</v>
      </c>
      <c r="F17" s="1420">
        <v>1189</v>
      </c>
      <c r="G17" s="1420">
        <v>1223</v>
      </c>
      <c r="H17" s="1420">
        <v>890</v>
      </c>
      <c r="I17" s="1420">
        <v>588</v>
      </c>
      <c r="J17" s="1215">
        <v>372</v>
      </c>
      <c r="K17" s="1215">
        <v>410</v>
      </c>
      <c r="L17" s="1385" t="s">
        <v>521</v>
      </c>
      <c r="M17" s="1386" t="s">
        <v>521</v>
      </c>
      <c r="N17" s="1305">
        <v>369</v>
      </c>
      <c r="O17" s="1326">
        <f t="shared" si="1"/>
        <v>427</v>
      </c>
      <c r="P17" s="1303">
        <f>V17</f>
        <v>399.7</v>
      </c>
      <c r="Q17" s="1313"/>
      <c r="R17" s="1359" t="s">
        <v>521</v>
      </c>
      <c r="S17" s="1459" t="s">
        <v>521</v>
      </c>
      <c r="T17" s="1460"/>
      <c r="U17" s="1397">
        <v>427</v>
      </c>
      <c r="V17" s="1397">
        <v>399.7</v>
      </c>
      <c r="W17" s="1215"/>
    </row>
    <row r="18" spans="1:23" ht="12.75">
      <c r="A18" s="1466" t="s">
        <v>540</v>
      </c>
      <c r="B18" s="1415" t="s">
        <v>541</v>
      </c>
      <c r="C18" s="1416">
        <v>1001</v>
      </c>
      <c r="D18" s="1416">
        <v>820</v>
      </c>
      <c r="E18" s="1414" t="s">
        <v>542</v>
      </c>
      <c r="F18" s="1393">
        <v>1816</v>
      </c>
      <c r="G18" s="1393">
        <v>2162</v>
      </c>
      <c r="H18" s="1393">
        <v>2060</v>
      </c>
      <c r="I18" s="1393">
        <v>2747</v>
      </c>
      <c r="J18" s="1208">
        <v>3107</v>
      </c>
      <c r="K18" s="1208">
        <v>3225</v>
      </c>
      <c r="L18" s="1358" t="s">
        <v>521</v>
      </c>
      <c r="M18" s="1390" t="s">
        <v>521</v>
      </c>
      <c r="N18" s="1301">
        <v>2007</v>
      </c>
      <c r="O18" s="1302">
        <f t="shared" si="1"/>
        <v>1846</v>
      </c>
      <c r="P18" s="1303">
        <f>V18</f>
        <v>1786.9</v>
      </c>
      <c r="Q18" s="1474"/>
      <c r="R18" s="1358" t="s">
        <v>521</v>
      </c>
      <c r="S18" s="1465" t="s">
        <v>521</v>
      </c>
      <c r="T18" s="1460"/>
      <c r="U18" s="1315">
        <v>1846</v>
      </c>
      <c r="V18" s="1315">
        <v>1786.9</v>
      </c>
      <c r="W18" s="1208"/>
    </row>
    <row r="19" spans="1:23" ht="12.75">
      <c r="A19" s="1466" t="s">
        <v>543</v>
      </c>
      <c r="B19" s="1415" t="s">
        <v>682</v>
      </c>
      <c r="C19" s="1416">
        <v>14718</v>
      </c>
      <c r="D19" s="1416">
        <v>14718</v>
      </c>
      <c r="E19" s="1414" t="s">
        <v>521</v>
      </c>
      <c r="F19" s="1393">
        <v>0</v>
      </c>
      <c r="G19" s="1393">
        <v>0</v>
      </c>
      <c r="H19" s="1393">
        <v>0</v>
      </c>
      <c r="I19" s="1393">
        <v>0</v>
      </c>
      <c r="J19" s="1208">
        <v>0</v>
      </c>
      <c r="K19" s="1208">
        <v>0</v>
      </c>
      <c r="L19" s="1358" t="s">
        <v>521</v>
      </c>
      <c r="M19" s="1390" t="s">
        <v>521</v>
      </c>
      <c r="N19" s="1301">
        <v>0</v>
      </c>
      <c r="O19" s="1302">
        <f t="shared" si="1"/>
        <v>0</v>
      </c>
      <c r="P19" s="1303">
        <f>V19</f>
        <v>0</v>
      </c>
      <c r="Q19" s="1474"/>
      <c r="R19" s="1358" t="s">
        <v>521</v>
      </c>
      <c r="S19" s="1465" t="s">
        <v>521</v>
      </c>
      <c r="T19" s="1460"/>
      <c r="U19" s="1315">
        <v>0</v>
      </c>
      <c r="V19" s="1315">
        <v>0</v>
      </c>
      <c r="W19" s="1208"/>
    </row>
    <row r="20" spans="1:23" ht="12.75">
      <c r="A20" s="1466" t="s">
        <v>545</v>
      </c>
      <c r="B20" s="1415" t="s">
        <v>544</v>
      </c>
      <c r="C20" s="1416">
        <v>1758</v>
      </c>
      <c r="D20" s="1416">
        <v>1762</v>
      </c>
      <c r="E20" s="1414" t="s">
        <v>521</v>
      </c>
      <c r="F20" s="1393">
        <v>3966</v>
      </c>
      <c r="G20" s="1393">
        <v>3634</v>
      </c>
      <c r="H20" s="1393">
        <v>3171</v>
      </c>
      <c r="I20" s="1393">
        <v>6758</v>
      </c>
      <c r="J20" s="1208">
        <v>6354</v>
      </c>
      <c r="K20" s="1208">
        <v>7206</v>
      </c>
      <c r="L20" s="1358" t="s">
        <v>521</v>
      </c>
      <c r="M20" s="1390" t="s">
        <v>521</v>
      </c>
      <c r="N20" s="1301">
        <v>14731</v>
      </c>
      <c r="O20" s="1302">
        <f t="shared" si="1"/>
        <v>14717</v>
      </c>
      <c r="P20" s="1303">
        <f>V20</f>
        <v>11083.6</v>
      </c>
      <c r="Q20" s="1474"/>
      <c r="R20" s="1358" t="s">
        <v>521</v>
      </c>
      <c r="S20" s="1465" t="s">
        <v>521</v>
      </c>
      <c r="T20" s="1460"/>
      <c r="U20" s="1315">
        <v>14717</v>
      </c>
      <c r="V20" s="1315">
        <v>11083.6</v>
      </c>
      <c r="W20" s="1208"/>
    </row>
    <row r="21" spans="1:23" ht="13.5" thickBot="1">
      <c r="A21" s="1461" t="s">
        <v>547</v>
      </c>
      <c r="B21" s="1424"/>
      <c r="C21" s="1425">
        <v>0</v>
      </c>
      <c r="D21" s="1425">
        <v>0</v>
      </c>
      <c r="E21" s="1426" t="s">
        <v>521</v>
      </c>
      <c r="F21" s="1393">
        <v>0</v>
      </c>
      <c r="G21" s="1393">
        <v>0</v>
      </c>
      <c r="H21" s="1393">
        <v>0</v>
      </c>
      <c r="I21" s="1411">
        <v>0</v>
      </c>
      <c r="J21" s="1223">
        <v>0</v>
      </c>
      <c r="K21" s="1223">
        <v>0</v>
      </c>
      <c r="L21" s="1357" t="s">
        <v>521</v>
      </c>
      <c r="M21" s="1391" t="s">
        <v>521</v>
      </c>
      <c r="N21" s="1316">
        <v>0</v>
      </c>
      <c r="O21" s="1306">
        <f t="shared" si="1"/>
        <v>0</v>
      </c>
      <c r="P21" s="1289">
        <f>V21</f>
        <v>0</v>
      </c>
      <c r="Q21" s="1290"/>
      <c r="R21" s="1467" t="s">
        <v>521</v>
      </c>
      <c r="S21" s="1475" t="s">
        <v>521</v>
      </c>
      <c r="T21" s="1460"/>
      <c r="U21" s="1318">
        <v>0</v>
      </c>
      <c r="V21" s="1318">
        <v>0</v>
      </c>
      <c r="W21" s="1223"/>
    </row>
    <row r="22" spans="1:23" ht="15">
      <c r="A22" s="1476" t="s">
        <v>549</v>
      </c>
      <c r="B22" s="1412" t="s">
        <v>550</v>
      </c>
      <c r="C22" s="1413">
        <v>12472</v>
      </c>
      <c r="D22" s="1413">
        <v>13728</v>
      </c>
      <c r="E22" s="1427" t="s">
        <v>521</v>
      </c>
      <c r="F22" s="1428">
        <v>34038</v>
      </c>
      <c r="G22" s="1428">
        <v>33242</v>
      </c>
      <c r="H22" s="1428">
        <v>33404</v>
      </c>
      <c r="I22" s="1428">
        <v>32231</v>
      </c>
      <c r="J22" s="1227">
        <v>31385</v>
      </c>
      <c r="K22" s="1227">
        <v>30771</v>
      </c>
      <c r="L22" s="1477">
        <f>L35</f>
        <v>30254</v>
      </c>
      <c r="M22" s="1477">
        <f>M35</f>
        <v>30408</v>
      </c>
      <c r="N22" s="1321">
        <v>7655</v>
      </c>
      <c r="O22" s="1342">
        <f>U22-N22</f>
        <v>8278</v>
      </c>
      <c r="P22" s="1296">
        <f>V22-U22</f>
        <v>7854.4000000000015</v>
      </c>
      <c r="Q22" s="1478"/>
      <c r="R22" s="1150">
        <f>SUM(N22:Q22)</f>
        <v>23787.4</v>
      </c>
      <c r="S22" s="1138">
        <f>(R22/M22)*100</f>
        <v>78.22744014732965</v>
      </c>
      <c r="T22" s="1460"/>
      <c r="U22" s="1362">
        <v>15933</v>
      </c>
      <c r="V22" s="1362">
        <v>23787.4</v>
      </c>
      <c r="W22" s="1227"/>
    </row>
    <row r="23" spans="1:23" ht="15">
      <c r="A23" s="1466" t="s">
        <v>551</v>
      </c>
      <c r="B23" s="1415" t="s">
        <v>552</v>
      </c>
      <c r="C23" s="1416">
        <v>0</v>
      </c>
      <c r="D23" s="1416">
        <v>0</v>
      </c>
      <c r="E23" s="1429" t="s">
        <v>521</v>
      </c>
      <c r="F23" s="1393">
        <v>230</v>
      </c>
      <c r="G23" s="1393">
        <v>0</v>
      </c>
      <c r="H23" s="1393"/>
      <c r="I23" s="1393"/>
      <c r="J23" s="1229">
        <v>0</v>
      </c>
      <c r="K23" s="1229">
        <v>0</v>
      </c>
      <c r="L23" s="1479"/>
      <c r="M23" s="1480"/>
      <c r="N23" s="1324">
        <v>0</v>
      </c>
      <c r="O23" s="1342">
        <f aca="true" t="shared" si="2" ref="O23:O40">U23-N23</f>
        <v>0</v>
      </c>
      <c r="P23" s="1302">
        <f aca="true" t="shared" si="3" ref="P23:P40">V23-U23</f>
        <v>0</v>
      </c>
      <c r="Q23" s="1474"/>
      <c r="R23" s="1152">
        <f aca="true" t="shared" si="4" ref="R23:R45">SUM(N23:Q23)</f>
        <v>0</v>
      </c>
      <c r="S23" s="1141" t="e">
        <f aca="true" t="shared" si="5" ref="S23:S45">(R23/M23)*100</f>
        <v>#DIV/0!</v>
      </c>
      <c r="T23" s="1460"/>
      <c r="U23" s="1315"/>
      <c r="V23" s="1315"/>
      <c r="W23" s="1229"/>
    </row>
    <row r="24" spans="1:23" ht="15.75" thickBot="1">
      <c r="A24" s="1461" t="s">
        <v>553</v>
      </c>
      <c r="B24" s="1424" t="s">
        <v>552</v>
      </c>
      <c r="C24" s="1425">
        <v>0</v>
      </c>
      <c r="D24" s="1425">
        <v>1215</v>
      </c>
      <c r="E24" s="1430">
        <v>672</v>
      </c>
      <c r="F24" s="1431">
        <v>10265</v>
      </c>
      <c r="G24" s="1431">
        <v>11176</v>
      </c>
      <c r="H24" s="1431">
        <v>10817</v>
      </c>
      <c r="I24" s="1411">
        <v>10900</v>
      </c>
      <c r="J24" s="1232">
        <v>9850</v>
      </c>
      <c r="K24" s="1232">
        <v>8800</v>
      </c>
      <c r="L24" s="1481">
        <f>L25+L26+L27+L28+L29</f>
        <v>8800</v>
      </c>
      <c r="M24" s="1481">
        <f>M25+M26+M27+M28+M29</f>
        <v>8800</v>
      </c>
      <c r="N24" s="1330">
        <v>2199</v>
      </c>
      <c r="O24" s="1482">
        <f t="shared" si="2"/>
        <v>2199</v>
      </c>
      <c r="P24" s="1306">
        <f t="shared" si="3"/>
        <v>2203</v>
      </c>
      <c r="Q24" s="1462"/>
      <c r="R24" s="1154">
        <f t="shared" si="4"/>
        <v>6601</v>
      </c>
      <c r="S24" s="1145">
        <f t="shared" si="5"/>
        <v>75.01136363636364</v>
      </c>
      <c r="T24" s="1460"/>
      <c r="U24" s="1470">
        <v>4398</v>
      </c>
      <c r="V24" s="1470">
        <v>6601</v>
      </c>
      <c r="W24" s="1232"/>
    </row>
    <row r="25" spans="1:23" ht="15">
      <c r="A25" s="1464" t="s">
        <v>554</v>
      </c>
      <c r="B25" s="1432" t="s">
        <v>683</v>
      </c>
      <c r="C25" s="1413">
        <v>6341</v>
      </c>
      <c r="D25" s="1413">
        <v>6960</v>
      </c>
      <c r="E25" s="1427">
        <v>501</v>
      </c>
      <c r="F25" s="1393">
        <v>5346</v>
      </c>
      <c r="G25" s="1393">
        <v>6445</v>
      </c>
      <c r="H25" s="1393">
        <v>6094</v>
      </c>
      <c r="I25" s="1397">
        <v>5295</v>
      </c>
      <c r="J25" s="1235">
        <v>5297</v>
      </c>
      <c r="K25" s="1235">
        <v>4512</v>
      </c>
      <c r="L25" s="1477">
        <v>3500</v>
      </c>
      <c r="M25" s="1477">
        <v>3500</v>
      </c>
      <c r="N25" s="1320">
        <v>1039</v>
      </c>
      <c r="O25" s="1322">
        <f t="shared" si="2"/>
        <v>1404</v>
      </c>
      <c r="P25" s="1296">
        <f t="shared" si="3"/>
        <v>845</v>
      </c>
      <c r="Q25" s="1313"/>
      <c r="R25" s="1150">
        <f t="shared" si="4"/>
        <v>3288</v>
      </c>
      <c r="S25" s="1138">
        <f t="shared" si="5"/>
        <v>93.94285714285714</v>
      </c>
      <c r="T25" s="1460"/>
      <c r="U25" s="1397">
        <v>2443</v>
      </c>
      <c r="V25" s="1314">
        <v>3288</v>
      </c>
      <c r="W25" s="1235"/>
    </row>
    <row r="26" spans="1:23" ht="15">
      <c r="A26" s="1466" t="s">
        <v>556</v>
      </c>
      <c r="B26" s="1433" t="s">
        <v>684</v>
      </c>
      <c r="C26" s="1416">
        <v>1745</v>
      </c>
      <c r="D26" s="1416">
        <v>2223</v>
      </c>
      <c r="E26" s="1429">
        <v>502</v>
      </c>
      <c r="F26" s="1393">
        <v>3410</v>
      </c>
      <c r="G26" s="1393">
        <v>3650</v>
      </c>
      <c r="H26" s="1393">
        <v>3802</v>
      </c>
      <c r="I26" s="1393">
        <v>3536</v>
      </c>
      <c r="J26" s="1229">
        <v>4465</v>
      </c>
      <c r="K26" s="1229">
        <v>3956</v>
      </c>
      <c r="L26" s="1479">
        <v>2600</v>
      </c>
      <c r="M26" s="1479">
        <v>2600</v>
      </c>
      <c r="N26" s="1324">
        <v>1089</v>
      </c>
      <c r="O26" s="1342">
        <f t="shared" si="2"/>
        <v>758</v>
      </c>
      <c r="P26" s="1302">
        <f t="shared" si="3"/>
        <v>1058</v>
      </c>
      <c r="Q26" s="1474"/>
      <c r="R26" s="1152">
        <f t="shared" si="4"/>
        <v>2905</v>
      </c>
      <c r="S26" s="1141">
        <f t="shared" si="5"/>
        <v>111.73076923076923</v>
      </c>
      <c r="T26" s="1460"/>
      <c r="U26" s="1315">
        <v>1847</v>
      </c>
      <c r="V26" s="1315">
        <v>2905</v>
      </c>
      <c r="W26" s="1229"/>
    </row>
    <row r="27" spans="1:23" ht="15">
      <c r="A27" s="1466" t="s">
        <v>558</v>
      </c>
      <c r="B27" s="1433" t="s">
        <v>685</v>
      </c>
      <c r="C27" s="1416">
        <v>0</v>
      </c>
      <c r="D27" s="1416">
        <v>0</v>
      </c>
      <c r="E27" s="1429">
        <v>504</v>
      </c>
      <c r="F27" s="1393">
        <v>320</v>
      </c>
      <c r="G27" s="1393">
        <v>253.75</v>
      </c>
      <c r="H27" s="1393">
        <v>184</v>
      </c>
      <c r="I27" s="1393">
        <v>155</v>
      </c>
      <c r="J27" s="1229">
        <v>189</v>
      </c>
      <c r="K27" s="1229">
        <v>153</v>
      </c>
      <c r="L27" s="1479">
        <v>0</v>
      </c>
      <c r="M27" s="1479">
        <v>0</v>
      </c>
      <c r="N27" s="1324">
        <v>22</v>
      </c>
      <c r="O27" s="1342">
        <f t="shared" si="2"/>
        <v>30</v>
      </c>
      <c r="P27" s="1302">
        <f t="shared" si="3"/>
        <v>28</v>
      </c>
      <c r="Q27" s="1474"/>
      <c r="R27" s="1152">
        <f t="shared" si="4"/>
        <v>80</v>
      </c>
      <c r="S27" s="1141" t="e">
        <f t="shared" si="5"/>
        <v>#DIV/0!</v>
      </c>
      <c r="T27" s="1460"/>
      <c r="U27" s="1315">
        <v>52</v>
      </c>
      <c r="V27" s="1315">
        <v>80</v>
      </c>
      <c r="W27" s="1229"/>
    </row>
    <row r="28" spans="1:23" ht="15">
      <c r="A28" s="1466" t="s">
        <v>560</v>
      </c>
      <c r="B28" s="1433" t="s">
        <v>686</v>
      </c>
      <c r="C28" s="1416">
        <v>428</v>
      </c>
      <c r="D28" s="1416">
        <v>253</v>
      </c>
      <c r="E28" s="1429">
        <v>511</v>
      </c>
      <c r="F28" s="1393">
        <v>698</v>
      </c>
      <c r="G28" s="1393">
        <v>1404</v>
      </c>
      <c r="H28" s="1393">
        <v>568</v>
      </c>
      <c r="I28" s="1393">
        <v>1119</v>
      </c>
      <c r="J28" s="1229">
        <v>1050</v>
      </c>
      <c r="K28" s="1229">
        <v>857</v>
      </c>
      <c r="L28" s="1479">
        <v>900</v>
      </c>
      <c r="M28" s="1479">
        <v>900</v>
      </c>
      <c r="N28" s="1324">
        <v>81</v>
      </c>
      <c r="O28" s="1342">
        <f t="shared" si="2"/>
        <v>130</v>
      </c>
      <c r="P28" s="1302">
        <f t="shared" si="3"/>
        <v>532.7</v>
      </c>
      <c r="Q28" s="1474"/>
      <c r="R28" s="1152">
        <f t="shared" si="4"/>
        <v>743.7</v>
      </c>
      <c r="S28" s="1141">
        <f t="shared" si="5"/>
        <v>82.63333333333334</v>
      </c>
      <c r="T28" s="1460"/>
      <c r="U28" s="1315">
        <v>211</v>
      </c>
      <c r="V28" s="1315">
        <v>743.7</v>
      </c>
      <c r="W28" s="1229"/>
    </row>
    <row r="29" spans="1:23" ht="15">
      <c r="A29" s="1466" t="s">
        <v>562</v>
      </c>
      <c r="B29" s="1433" t="s">
        <v>687</v>
      </c>
      <c r="C29" s="1416">
        <v>1057</v>
      </c>
      <c r="D29" s="1416">
        <v>1451</v>
      </c>
      <c r="E29" s="1429">
        <v>518</v>
      </c>
      <c r="F29" s="1393">
        <v>2744</v>
      </c>
      <c r="G29" s="1393">
        <v>2465</v>
      </c>
      <c r="H29" s="1393">
        <v>3548</v>
      </c>
      <c r="I29" s="1393">
        <v>3195</v>
      </c>
      <c r="J29" s="1229">
        <v>1832</v>
      </c>
      <c r="K29" s="1229">
        <v>1877</v>
      </c>
      <c r="L29" s="1479">
        <v>1800</v>
      </c>
      <c r="M29" s="1479">
        <v>1800</v>
      </c>
      <c r="N29" s="1324">
        <v>343</v>
      </c>
      <c r="O29" s="1342">
        <f t="shared" si="2"/>
        <v>308</v>
      </c>
      <c r="P29" s="1302">
        <f t="shared" si="3"/>
        <v>358</v>
      </c>
      <c r="Q29" s="1474"/>
      <c r="R29" s="1152">
        <f t="shared" si="4"/>
        <v>1009</v>
      </c>
      <c r="S29" s="1141">
        <f t="shared" si="5"/>
        <v>56.05555555555556</v>
      </c>
      <c r="T29" s="1460"/>
      <c r="U29" s="1315">
        <v>651</v>
      </c>
      <c r="V29" s="1315">
        <v>1009</v>
      </c>
      <c r="W29" s="1229"/>
    </row>
    <row r="30" spans="1:23" ht="15">
      <c r="A30" s="1466" t="s">
        <v>564</v>
      </c>
      <c r="B30" s="1433" t="s">
        <v>688</v>
      </c>
      <c r="C30" s="1416">
        <v>10408</v>
      </c>
      <c r="D30" s="1416">
        <v>11792</v>
      </c>
      <c r="E30" s="1429">
        <v>521</v>
      </c>
      <c r="F30" s="1393">
        <v>17448</v>
      </c>
      <c r="G30" s="1393">
        <v>17077</v>
      </c>
      <c r="H30" s="1393">
        <v>16713</v>
      </c>
      <c r="I30" s="1393">
        <v>16245</v>
      </c>
      <c r="J30" s="1229">
        <v>16486</v>
      </c>
      <c r="K30" s="1229">
        <v>16926</v>
      </c>
      <c r="L30" s="1479">
        <v>15537</v>
      </c>
      <c r="M30" s="1479">
        <v>15650</v>
      </c>
      <c r="N30" s="1324">
        <v>4032</v>
      </c>
      <c r="O30" s="1342">
        <f t="shared" si="2"/>
        <v>4472</v>
      </c>
      <c r="P30" s="1302">
        <f t="shared" si="3"/>
        <v>4024</v>
      </c>
      <c r="Q30" s="1474"/>
      <c r="R30" s="1152">
        <f t="shared" si="4"/>
        <v>12528</v>
      </c>
      <c r="S30" s="1141">
        <f t="shared" si="5"/>
        <v>80.05111821086261</v>
      </c>
      <c r="T30" s="1460"/>
      <c r="U30" s="1315">
        <v>8504</v>
      </c>
      <c r="V30" s="1315">
        <v>12528</v>
      </c>
      <c r="W30" s="1229"/>
    </row>
    <row r="31" spans="1:23" ht="15">
      <c r="A31" s="1466" t="s">
        <v>566</v>
      </c>
      <c r="B31" s="1433" t="s">
        <v>689</v>
      </c>
      <c r="C31" s="1416">
        <v>3640</v>
      </c>
      <c r="D31" s="1416">
        <v>4174</v>
      </c>
      <c r="E31" s="1429" t="s">
        <v>568</v>
      </c>
      <c r="F31" s="1393">
        <v>6393</v>
      </c>
      <c r="G31" s="1393">
        <v>6173</v>
      </c>
      <c r="H31" s="1393">
        <v>5777</v>
      </c>
      <c r="I31" s="1393">
        <v>5864</v>
      </c>
      <c r="J31" s="1229">
        <v>5751</v>
      </c>
      <c r="K31" s="1229">
        <v>5680</v>
      </c>
      <c r="L31" s="1479">
        <v>5438</v>
      </c>
      <c r="M31" s="1479">
        <v>5477</v>
      </c>
      <c r="N31" s="1324">
        <v>1350</v>
      </c>
      <c r="O31" s="1342">
        <f t="shared" si="2"/>
        <v>1527</v>
      </c>
      <c r="P31" s="1302">
        <f t="shared" si="3"/>
        <v>1422.8999999999996</v>
      </c>
      <c r="Q31" s="1474"/>
      <c r="R31" s="1152">
        <f t="shared" si="4"/>
        <v>4299.9</v>
      </c>
      <c r="S31" s="1141">
        <f t="shared" si="5"/>
        <v>78.50830746759175</v>
      </c>
      <c r="T31" s="1460"/>
      <c r="U31" s="1393">
        <v>2877</v>
      </c>
      <c r="V31" s="1315">
        <v>4299.9</v>
      </c>
      <c r="W31" s="1229"/>
    </row>
    <row r="32" spans="1:23" ht="15">
      <c r="A32" s="1466" t="s">
        <v>569</v>
      </c>
      <c r="B32" s="1433" t="s">
        <v>690</v>
      </c>
      <c r="C32" s="1416">
        <v>0</v>
      </c>
      <c r="D32" s="1416">
        <v>0</v>
      </c>
      <c r="E32" s="1429">
        <v>557</v>
      </c>
      <c r="F32" s="1393">
        <v>0</v>
      </c>
      <c r="G32" s="1393">
        <v>0</v>
      </c>
      <c r="H32" s="1393">
        <v>7</v>
      </c>
      <c r="I32" s="1393">
        <v>0</v>
      </c>
      <c r="J32" s="1229">
        <v>0</v>
      </c>
      <c r="K32" s="1229">
        <v>0</v>
      </c>
      <c r="L32" s="1479"/>
      <c r="M32" s="1479"/>
      <c r="N32" s="1324">
        <v>0</v>
      </c>
      <c r="O32" s="1342">
        <f t="shared" si="2"/>
        <v>0</v>
      </c>
      <c r="P32" s="1302">
        <f t="shared" si="3"/>
        <v>0</v>
      </c>
      <c r="Q32" s="1474"/>
      <c r="R32" s="1152">
        <f t="shared" si="4"/>
        <v>0</v>
      </c>
      <c r="S32" s="1141" t="e">
        <f t="shared" si="5"/>
        <v>#DIV/0!</v>
      </c>
      <c r="T32" s="1460"/>
      <c r="U32" s="1315">
        <v>0</v>
      </c>
      <c r="V32" s="1315">
        <v>0</v>
      </c>
      <c r="W32" s="1229"/>
    </row>
    <row r="33" spans="1:23" ht="15">
      <c r="A33" s="1466" t="s">
        <v>571</v>
      </c>
      <c r="B33" s="1433" t="s">
        <v>691</v>
      </c>
      <c r="C33" s="1416">
        <v>1711</v>
      </c>
      <c r="D33" s="1416">
        <v>1801</v>
      </c>
      <c r="E33" s="1429">
        <v>551</v>
      </c>
      <c r="F33" s="1393">
        <v>367</v>
      </c>
      <c r="G33" s="1393">
        <v>377</v>
      </c>
      <c r="H33" s="1393">
        <v>441</v>
      </c>
      <c r="I33" s="1393">
        <v>313</v>
      </c>
      <c r="J33" s="1229">
        <v>215</v>
      </c>
      <c r="K33" s="1229">
        <v>147</v>
      </c>
      <c r="L33" s="1479"/>
      <c r="M33" s="1479"/>
      <c r="N33" s="1324">
        <v>41</v>
      </c>
      <c r="O33" s="1342">
        <f t="shared" si="2"/>
        <v>35</v>
      </c>
      <c r="P33" s="1302">
        <f t="shared" si="3"/>
        <v>27.599999999999994</v>
      </c>
      <c r="Q33" s="1474"/>
      <c r="R33" s="1152">
        <f t="shared" si="4"/>
        <v>103.6</v>
      </c>
      <c r="S33" s="1141" t="e">
        <f t="shared" si="5"/>
        <v>#DIV/0!</v>
      </c>
      <c r="U33" s="1393">
        <v>76</v>
      </c>
      <c r="V33" s="1315">
        <v>103.6</v>
      </c>
      <c r="W33" s="1229"/>
    </row>
    <row r="34" spans="1:23" ht="15.75" thickBot="1">
      <c r="A34" s="1457" t="s">
        <v>573</v>
      </c>
      <c r="B34" s="1434" t="s">
        <v>692</v>
      </c>
      <c r="C34" s="1418">
        <v>569</v>
      </c>
      <c r="D34" s="1418">
        <v>614</v>
      </c>
      <c r="E34" s="1435" t="s">
        <v>574</v>
      </c>
      <c r="F34" s="1420">
        <v>655</v>
      </c>
      <c r="G34" s="1420">
        <v>138</v>
      </c>
      <c r="H34" s="1420">
        <v>309</v>
      </c>
      <c r="I34" s="1394">
        <v>154</v>
      </c>
      <c r="J34" s="1241">
        <v>438</v>
      </c>
      <c r="K34" s="1241">
        <v>900</v>
      </c>
      <c r="L34" s="1483">
        <v>479</v>
      </c>
      <c r="M34" s="1483">
        <v>481</v>
      </c>
      <c r="N34" s="1336">
        <v>443</v>
      </c>
      <c r="O34" s="1392">
        <f t="shared" si="2"/>
        <v>224</v>
      </c>
      <c r="P34" s="1306">
        <f t="shared" si="3"/>
        <v>437</v>
      </c>
      <c r="Q34" s="1290"/>
      <c r="R34" s="1154">
        <f t="shared" si="4"/>
        <v>1104</v>
      </c>
      <c r="S34" s="1145">
        <f t="shared" si="5"/>
        <v>229.52182952182955</v>
      </c>
      <c r="U34" s="1394">
        <v>667</v>
      </c>
      <c r="V34" s="1318">
        <v>1104</v>
      </c>
      <c r="W34" s="1241"/>
    </row>
    <row r="35" spans="1:23" ht="15.75" thickBot="1">
      <c r="A35" s="1471" t="s">
        <v>575</v>
      </c>
      <c r="B35" s="1436" t="s">
        <v>576</v>
      </c>
      <c r="C35" s="1422">
        <f>SUM(C25:C34)</f>
        <v>25899</v>
      </c>
      <c r="D35" s="1422">
        <f>SUM(D25:D34)</f>
        <v>29268</v>
      </c>
      <c r="E35" s="1278"/>
      <c r="F35" s="1360">
        <f aca="true" t="shared" si="6" ref="F35:P35">SUM(F25:F34)</f>
        <v>37381</v>
      </c>
      <c r="G35" s="1360">
        <f t="shared" si="6"/>
        <v>37982.75</v>
      </c>
      <c r="H35" s="1360">
        <f t="shared" si="6"/>
        <v>37443</v>
      </c>
      <c r="I35" s="1360">
        <f t="shared" si="6"/>
        <v>35876</v>
      </c>
      <c r="J35" s="1157">
        <f>SUM(J25:J34)</f>
        <v>35723</v>
      </c>
      <c r="K35" s="1157">
        <f>SUM(K25:K34)</f>
        <v>35008</v>
      </c>
      <c r="L35" s="1484">
        <f t="shared" si="6"/>
        <v>30254</v>
      </c>
      <c r="M35" s="1485">
        <f t="shared" si="6"/>
        <v>30408</v>
      </c>
      <c r="N35" s="1485">
        <f t="shared" si="6"/>
        <v>8440</v>
      </c>
      <c r="O35" s="1486">
        <f t="shared" si="6"/>
        <v>8888</v>
      </c>
      <c r="P35" s="1485">
        <f t="shared" si="6"/>
        <v>8733.199999999999</v>
      </c>
      <c r="Q35" s="1487"/>
      <c r="R35" s="1157">
        <f t="shared" si="4"/>
        <v>26061.199999999997</v>
      </c>
      <c r="S35" s="1158">
        <f t="shared" si="5"/>
        <v>85.70507761115495</v>
      </c>
      <c r="U35" s="1157">
        <f>SUM(U25:U34)</f>
        <v>17328</v>
      </c>
      <c r="V35" s="1157">
        <f>SUM(V25:V34)</f>
        <v>26061.199999999997</v>
      </c>
      <c r="W35" s="1157">
        <f>SUM(W25:W34)</f>
        <v>0</v>
      </c>
    </row>
    <row r="36" spans="1:23" ht="15">
      <c r="A36" s="1464" t="s">
        <v>577</v>
      </c>
      <c r="B36" s="1432" t="s">
        <v>693</v>
      </c>
      <c r="C36" s="1413">
        <v>0</v>
      </c>
      <c r="D36" s="1413">
        <v>0</v>
      </c>
      <c r="E36" s="1427">
        <v>601</v>
      </c>
      <c r="F36" s="1397">
        <v>2877</v>
      </c>
      <c r="G36" s="1397">
        <v>3123</v>
      </c>
      <c r="H36" s="1397">
        <v>3105</v>
      </c>
      <c r="I36" s="1397">
        <v>2093</v>
      </c>
      <c r="J36" s="1235">
        <v>1973</v>
      </c>
      <c r="K36" s="1235">
        <v>1538</v>
      </c>
      <c r="L36" s="1477"/>
      <c r="M36" s="1488"/>
      <c r="N36" s="1321">
        <v>409</v>
      </c>
      <c r="O36" s="1342">
        <f t="shared" si="2"/>
        <v>498</v>
      </c>
      <c r="P36" s="1296">
        <f t="shared" si="3"/>
        <v>252</v>
      </c>
      <c r="Q36" s="1313"/>
      <c r="R36" s="1150">
        <f t="shared" si="4"/>
        <v>1159</v>
      </c>
      <c r="S36" s="1138" t="e">
        <f t="shared" si="5"/>
        <v>#DIV/0!</v>
      </c>
      <c r="U36" s="1314">
        <v>907</v>
      </c>
      <c r="V36" s="1314">
        <v>1159</v>
      </c>
      <c r="W36" s="1235"/>
    </row>
    <row r="37" spans="1:23" ht="15">
      <c r="A37" s="1466" t="s">
        <v>579</v>
      </c>
      <c r="B37" s="1433" t="s">
        <v>694</v>
      </c>
      <c r="C37" s="1416">
        <v>1190</v>
      </c>
      <c r="D37" s="1416">
        <v>1857</v>
      </c>
      <c r="E37" s="1429">
        <v>602</v>
      </c>
      <c r="F37" s="1393">
        <v>763</v>
      </c>
      <c r="G37" s="1393">
        <v>489</v>
      </c>
      <c r="H37" s="1393">
        <v>687</v>
      </c>
      <c r="I37" s="1393">
        <v>1081</v>
      </c>
      <c r="J37" s="1229">
        <v>1393</v>
      </c>
      <c r="K37" s="1229">
        <v>1905</v>
      </c>
      <c r="L37" s="1479"/>
      <c r="M37" s="1480"/>
      <c r="N37" s="1324">
        <v>463</v>
      </c>
      <c r="O37" s="1342">
        <f t="shared" si="2"/>
        <v>592</v>
      </c>
      <c r="P37" s="1302">
        <f t="shared" si="3"/>
        <v>252</v>
      </c>
      <c r="Q37" s="1474"/>
      <c r="R37" s="1152">
        <f t="shared" si="4"/>
        <v>1307</v>
      </c>
      <c r="S37" s="1141" t="e">
        <f t="shared" si="5"/>
        <v>#DIV/0!</v>
      </c>
      <c r="U37" s="1315">
        <v>1055</v>
      </c>
      <c r="V37" s="1315">
        <v>1307</v>
      </c>
      <c r="W37" s="1229"/>
    </row>
    <row r="38" spans="1:23" ht="15">
      <c r="A38" s="1466" t="s">
        <v>581</v>
      </c>
      <c r="B38" s="1433" t="s">
        <v>695</v>
      </c>
      <c r="C38" s="1416">
        <v>0</v>
      </c>
      <c r="D38" s="1416">
        <v>0</v>
      </c>
      <c r="E38" s="1429">
        <v>604</v>
      </c>
      <c r="F38" s="1393">
        <v>405.61</v>
      </c>
      <c r="G38" s="1393">
        <v>342.28</v>
      </c>
      <c r="H38" s="1393">
        <v>251</v>
      </c>
      <c r="I38" s="1393">
        <v>205</v>
      </c>
      <c r="J38" s="1229">
        <v>255</v>
      </c>
      <c r="K38" s="1229">
        <v>200</v>
      </c>
      <c r="L38" s="1479"/>
      <c r="M38" s="1480"/>
      <c r="N38" s="1324">
        <v>48</v>
      </c>
      <c r="O38" s="1342">
        <f t="shared" si="2"/>
        <v>50</v>
      </c>
      <c r="P38" s="1302">
        <f t="shared" si="3"/>
        <v>24</v>
      </c>
      <c r="Q38" s="1474"/>
      <c r="R38" s="1152">
        <f t="shared" si="4"/>
        <v>122</v>
      </c>
      <c r="S38" s="1141" t="e">
        <f t="shared" si="5"/>
        <v>#DIV/0!</v>
      </c>
      <c r="U38" s="1315">
        <v>98</v>
      </c>
      <c r="V38" s="1315">
        <v>122</v>
      </c>
      <c r="W38" s="1229"/>
    </row>
    <row r="39" spans="1:23" ht="15">
      <c r="A39" s="1466" t="s">
        <v>583</v>
      </c>
      <c r="B39" s="1433" t="s">
        <v>696</v>
      </c>
      <c r="C39" s="1416">
        <v>12472</v>
      </c>
      <c r="D39" s="1416">
        <v>13728</v>
      </c>
      <c r="E39" s="1429" t="s">
        <v>585</v>
      </c>
      <c r="F39" s="1393">
        <v>33807</v>
      </c>
      <c r="G39" s="1393">
        <v>33241</v>
      </c>
      <c r="H39" s="1393">
        <v>33404</v>
      </c>
      <c r="I39" s="1393">
        <v>32231</v>
      </c>
      <c r="J39" s="1229">
        <v>31385</v>
      </c>
      <c r="K39" s="1229">
        <v>30771</v>
      </c>
      <c r="L39" s="1479">
        <f>L35</f>
        <v>30254</v>
      </c>
      <c r="M39" s="1480">
        <v>30408</v>
      </c>
      <c r="N39" s="1324">
        <v>7655</v>
      </c>
      <c r="O39" s="1342">
        <f t="shared" si="2"/>
        <v>8278</v>
      </c>
      <c r="P39" s="1302">
        <f t="shared" si="3"/>
        <v>7854</v>
      </c>
      <c r="Q39" s="1474"/>
      <c r="R39" s="1152">
        <f t="shared" si="4"/>
        <v>23787</v>
      </c>
      <c r="S39" s="1141">
        <f t="shared" si="5"/>
        <v>78.22612470402525</v>
      </c>
      <c r="U39" s="1315">
        <v>15933</v>
      </c>
      <c r="V39" s="1315">
        <v>23787</v>
      </c>
      <c r="W39" s="1229"/>
    </row>
    <row r="40" spans="1:23" ht="15.75" thickBot="1">
      <c r="A40" s="1457" t="s">
        <v>586</v>
      </c>
      <c r="B40" s="1434" t="s">
        <v>692</v>
      </c>
      <c r="C40" s="1418">
        <v>12330</v>
      </c>
      <c r="D40" s="1418">
        <v>13218</v>
      </c>
      <c r="E40" s="1435" t="s">
        <v>587</v>
      </c>
      <c r="F40" s="1420">
        <v>171</v>
      </c>
      <c r="G40" s="1420">
        <v>876</v>
      </c>
      <c r="H40" s="1420">
        <v>313</v>
      </c>
      <c r="I40" s="1394">
        <v>410</v>
      </c>
      <c r="J40" s="1241">
        <v>794</v>
      </c>
      <c r="K40" s="1241">
        <v>692</v>
      </c>
      <c r="L40" s="1483"/>
      <c r="M40" s="1489"/>
      <c r="N40" s="1336">
        <v>35</v>
      </c>
      <c r="O40" s="1342">
        <f t="shared" si="2"/>
        <v>87</v>
      </c>
      <c r="P40" s="1306">
        <f t="shared" si="3"/>
        <v>97</v>
      </c>
      <c r="Q40" s="1474"/>
      <c r="R40" s="1154">
        <f t="shared" si="4"/>
        <v>219</v>
      </c>
      <c r="S40" s="1145" t="e">
        <f t="shared" si="5"/>
        <v>#DIV/0!</v>
      </c>
      <c r="U40" s="1394">
        <v>122</v>
      </c>
      <c r="V40" s="1318">
        <v>219</v>
      </c>
      <c r="W40" s="1241"/>
    </row>
    <row r="41" spans="1:23" ht="15.75" thickBot="1">
      <c r="A41" s="1471" t="s">
        <v>588</v>
      </c>
      <c r="B41" s="1436" t="s">
        <v>589</v>
      </c>
      <c r="C41" s="1422">
        <f>SUM(C36:C40)</f>
        <v>25992</v>
      </c>
      <c r="D41" s="1422">
        <f>SUM(D36:D40)</f>
        <v>28803</v>
      </c>
      <c r="E41" s="1278" t="s">
        <v>521</v>
      </c>
      <c r="F41" s="1360">
        <f aca="true" t="shared" si="7" ref="F41:Q41">SUM(F36:F40)</f>
        <v>38023.61</v>
      </c>
      <c r="G41" s="1360">
        <f t="shared" si="7"/>
        <v>38071.28</v>
      </c>
      <c r="H41" s="1360">
        <f t="shared" si="7"/>
        <v>37760</v>
      </c>
      <c r="I41" s="1360">
        <f t="shared" si="7"/>
        <v>36020</v>
      </c>
      <c r="J41" s="1157">
        <f>SUM(J36:J40)</f>
        <v>35800</v>
      </c>
      <c r="K41" s="1157">
        <f>SUM(K36:K40)</f>
        <v>35106</v>
      </c>
      <c r="L41" s="1484">
        <f t="shared" si="7"/>
        <v>30254</v>
      </c>
      <c r="M41" s="1485">
        <f t="shared" si="7"/>
        <v>30408</v>
      </c>
      <c r="N41" s="1157">
        <f t="shared" si="7"/>
        <v>8610</v>
      </c>
      <c r="O41" s="1157">
        <f t="shared" si="7"/>
        <v>9505</v>
      </c>
      <c r="P41" s="1490">
        <f t="shared" si="7"/>
        <v>8479</v>
      </c>
      <c r="Q41" s="1400">
        <f t="shared" si="7"/>
        <v>0</v>
      </c>
      <c r="R41" s="1157">
        <f t="shared" si="4"/>
        <v>26594</v>
      </c>
      <c r="S41" s="1158">
        <f t="shared" si="5"/>
        <v>87.45724809260722</v>
      </c>
      <c r="U41" s="1157">
        <f>SUM(U36:U40)</f>
        <v>18115</v>
      </c>
      <c r="V41" s="1157">
        <f>SUM(V36:V40)</f>
        <v>26594</v>
      </c>
      <c r="W41" s="1157">
        <f>SUM(W36:W40)</f>
        <v>0</v>
      </c>
    </row>
    <row r="42" spans="1:23" ht="6.75" customHeight="1" thickBot="1">
      <c r="A42" s="1457"/>
      <c r="B42" s="1437"/>
      <c r="C42" s="1438"/>
      <c r="D42" s="1438"/>
      <c r="E42" s="1365"/>
      <c r="F42" s="1420"/>
      <c r="G42" s="1420"/>
      <c r="H42" s="1420"/>
      <c r="I42" s="1439"/>
      <c r="J42" s="1246"/>
      <c r="K42" s="1246"/>
      <c r="L42" s="1491"/>
      <c r="M42" s="1492"/>
      <c r="N42" s="1214"/>
      <c r="O42" s="1326"/>
      <c r="P42" s="1348"/>
      <c r="Q42" s="1039"/>
      <c r="R42" s="1137"/>
      <c r="S42" s="1138"/>
      <c r="U42" s="1361"/>
      <c r="V42" s="1361"/>
      <c r="W42" s="1246"/>
    </row>
    <row r="43" spans="1:23" ht="15.75" thickBot="1">
      <c r="A43" s="1493" t="s">
        <v>590</v>
      </c>
      <c r="B43" s="1421" t="s">
        <v>552</v>
      </c>
      <c r="C43" s="1422">
        <f>+C41-C39</f>
        <v>13520</v>
      </c>
      <c r="D43" s="1422">
        <f>+D41-D39</f>
        <v>15075</v>
      </c>
      <c r="E43" s="1278" t="s">
        <v>521</v>
      </c>
      <c r="F43" s="1360">
        <f aca="true" t="shared" si="8" ref="F43:Q43">F41-F39</f>
        <v>4216.610000000001</v>
      </c>
      <c r="G43" s="1360">
        <f t="shared" si="8"/>
        <v>4830.279999999999</v>
      </c>
      <c r="H43" s="1360">
        <f t="shared" si="8"/>
        <v>4356</v>
      </c>
      <c r="I43" s="1360">
        <f>I41-I39</f>
        <v>3789</v>
      </c>
      <c r="J43" s="1157">
        <f>J41-J39</f>
        <v>4415</v>
      </c>
      <c r="K43" s="1157">
        <f>K41-K39</f>
        <v>4335</v>
      </c>
      <c r="L43" s="1081">
        <f>L41-L39</f>
        <v>0</v>
      </c>
      <c r="M43" s="1382">
        <f t="shared" si="8"/>
        <v>0</v>
      </c>
      <c r="N43" s="1157">
        <f t="shared" si="8"/>
        <v>955</v>
      </c>
      <c r="O43" s="1157">
        <f t="shared" si="8"/>
        <v>1227</v>
      </c>
      <c r="P43" s="1157">
        <f t="shared" si="8"/>
        <v>625</v>
      </c>
      <c r="Q43" s="1246">
        <f t="shared" si="8"/>
        <v>0</v>
      </c>
      <c r="R43" s="1137">
        <f t="shared" si="4"/>
        <v>2807</v>
      </c>
      <c r="S43" s="1138" t="e">
        <f t="shared" si="5"/>
        <v>#DIV/0!</v>
      </c>
      <c r="U43" s="1157">
        <f>U41-U39</f>
        <v>2182</v>
      </c>
      <c r="V43" s="1157">
        <f>V41-V39</f>
        <v>2807</v>
      </c>
      <c r="W43" s="1157">
        <f>W41-W39</f>
        <v>0</v>
      </c>
    </row>
    <row r="44" spans="1:23" ht="15.75" thickBot="1">
      <c r="A44" s="1471" t="s">
        <v>591</v>
      </c>
      <c r="B44" s="1421" t="s">
        <v>592</v>
      </c>
      <c r="C44" s="1422">
        <f>+C41-C35</f>
        <v>93</v>
      </c>
      <c r="D44" s="1422">
        <f>+D41-D35</f>
        <v>-465</v>
      </c>
      <c r="E44" s="1278" t="s">
        <v>521</v>
      </c>
      <c r="F44" s="1360">
        <f aca="true" t="shared" si="9" ref="F44:Q44">F41-F35</f>
        <v>642.6100000000006</v>
      </c>
      <c r="G44" s="1360">
        <f t="shared" si="9"/>
        <v>88.52999999999884</v>
      </c>
      <c r="H44" s="1360">
        <f t="shared" si="9"/>
        <v>317</v>
      </c>
      <c r="I44" s="1360">
        <f>I41-I35</f>
        <v>144</v>
      </c>
      <c r="J44" s="1157">
        <f>J41-J35</f>
        <v>77</v>
      </c>
      <c r="K44" s="1157">
        <f>K41-K35</f>
        <v>98</v>
      </c>
      <c r="L44" s="1081">
        <f>L41-L35</f>
        <v>0</v>
      </c>
      <c r="M44" s="1382">
        <f t="shared" si="9"/>
        <v>0</v>
      </c>
      <c r="N44" s="1157">
        <f t="shared" si="9"/>
        <v>170</v>
      </c>
      <c r="O44" s="1157">
        <f t="shared" si="9"/>
        <v>617</v>
      </c>
      <c r="P44" s="1157">
        <f t="shared" si="9"/>
        <v>-254.1999999999989</v>
      </c>
      <c r="Q44" s="1246">
        <f t="shared" si="9"/>
        <v>0</v>
      </c>
      <c r="R44" s="1137">
        <f t="shared" si="4"/>
        <v>532.8000000000011</v>
      </c>
      <c r="S44" s="1138" t="e">
        <f t="shared" si="5"/>
        <v>#DIV/0!</v>
      </c>
      <c r="U44" s="1157">
        <f>U41-U35</f>
        <v>787</v>
      </c>
      <c r="V44" s="1157">
        <f>V41-V35</f>
        <v>532.8000000000029</v>
      </c>
      <c r="W44" s="1157">
        <f>W41-W35</f>
        <v>0</v>
      </c>
    </row>
    <row r="45" spans="1:23" ht="15.75" thickBot="1">
      <c r="A45" s="1494" t="s">
        <v>593</v>
      </c>
      <c r="B45" s="1440" t="s">
        <v>552</v>
      </c>
      <c r="C45" s="1441">
        <f>+C44-C39</f>
        <v>-12379</v>
      </c>
      <c r="D45" s="1441">
        <f>+D44-D39</f>
        <v>-14193</v>
      </c>
      <c r="E45" s="1366" t="s">
        <v>521</v>
      </c>
      <c r="F45" s="1360">
        <f aca="true" t="shared" si="10" ref="F45:Q45">F44-F39</f>
        <v>-33164.39</v>
      </c>
      <c r="G45" s="1360">
        <f t="shared" si="10"/>
        <v>-33152.47</v>
      </c>
      <c r="H45" s="1360">
        <f t="shared" si="10"/>
        <v>-33087</v>
      </c>
      <c r="I45" s="1360">
        <f t="shared" si="10"/>
        <v>-32087</v>
      </c>
      <c r="J45" s="1157">
        <f>J44-J39</f>
        <v>-31308</v>
      </c>
      <c r="K45" s="1157">
        <f>K44-K39</f>
        <v>-30673</v>
      </c>
      <c r="L45" s="1081">
        <f t="shared" si="10"/>
        <v>-30254</v>
      </c>
      <c r="M45" s="1382">
        <f t="shared" si="10"/>
        <v>-30408</v>
      </c>
      <c r="N45" s="1157">
        <f t="shared" si="10"/>
        <v>-7485</v>
      </c>
      <c r="O45" s="1157">
        <f t="shared" si="10"/>
        <v>-7661</v>
      </c>
      <c r="P45" s="1157">
        <f t="shared" si="10"/>
        <v>-8108.199999999999</v>
      </c>
      <c r="Q45" s="1246">
        <f t="shared" si="10"/>
        <v>0</v>
      </c>
      <c r="R45" s="1137">
        <f t="shared" si="4"/>
        <v>-23254.199999999997</v>
      </c>
      <c r="S45" s="1158">
        <f t="shared" si="5"/>
        <v>76.473954222573</v>
      </c>
      <c r="U45" s="1157">
        <f>U44-U39</f>
        <v>-15146</v>
      </c>
      <c r="V45" s="1157">
        <f>V44-V39</f>
        <v>-23254.199999999997</v>
      </c>
      <c r="W45" s="1157">
        <f>W44-W39</f>
        <v>0</v>
      </c>
    </row>
    <row r="46" ht="12.75">
      <c r="A46" s="1053"/>
    </row>
    <row r="47" spans="1:5" ht="12.75">
      <c r="A47" s="114"/>
      <c r="B47" s="1401" t="s">
        <v>728</v>
      </c>
      <c r="C47" s="108" t="s">
        <v>724</v>
      </c>
      <c r="E47" s="1351" t="s">
        <v>729</v>
      </c>
    </row>
    <row r="48" ht="12.75">
      <c r="A48" s="1053"/>
    </row>
    <row r="49" spans="1:33" ht="14.25">
      <c r="A49" s="893" t="s">
        <v>697</v>
      </c>
      <c r="F49" s="108"/>
      <c r="G49" s="108"/>
      <c r="H49" s="108"/>
      <c r="I49" s="108"/>
      <c r="J49" s="496"/>
      <c r="K49" s="496"/>
      <c r="L49" s="496"/>
      <c r="M49" s="496"/>
      <c r="N49" s="496"/>
      <c r="O49" s="496"/>
      <c r="P49" s="496"/>
      <c r="Q49" s="496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1:33" ht="14.25">
      <c r="A50" s="894" t="s">
        <v>698</v>
      </c>
      <c r="F50" s="108"/>
      <c r="G50" s="108"/>
      <c r="H50" s="108"/>
      <c r="I50" s="108"/>
      <c r="J50" s="496"/>
      <c r="K50" s="496"/>
      <c r="L50" s="496"/>
      <c r="M50" s="496"/>
      <c r="N50" s="496"/>
      <c r="O50" s="496"/>
      <c r="P50" s="496"/>
      <c r="Q50" s="496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1:33" ht="14.25">
      <c r="A51" s="1352" t="s">
        <v>699</v>
      </c>
      <c r="F51" s="108"/>
      <c r="G51" s="108"/>
      <c r="H51" s="108"/>
      <c r="I51" s="108"/>
      <c r="J51" s="496"/>
      <c r="K51" s="496"/>
      <c r="L51" s="496"/>
      <c r="M51" s="496"/>
      <c r="N51" s="496"/>
      <c r="O51" s="496"/>
      <c r="P51" s="496"/>
      <c r="Q51" s="496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1:33" ht="14.25">
      <c r="A52" s="1353"/>
      <c r="F52" s="108"/>
      <c r="G52" s="108"/>
      <c r="H52" s="108"/>
      <c r="I52" s="108"/>
      <c r="J52" s="496"/>
      <c r="K52" s="496"/>
      <c r="L52" s="496"/>
      <c r="M52" s="496"/>
      <c r="N52" s="496"/>
      <c r="O52" s="496"/>
      <c r="P52" s="496"/>
      <c r="Q52" s="496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1:33" ht="12.75">
      <c r="A53" s="1053" t="s">
        <v>707</v>
      </c>
      <c r="F53" s="108"/>
      <c r="G53" s="108"/>
      <c r="H53" s="108"/>
      <c r="I53" s="108"/>
      <c r="J53" s="496"/>
      <c r="K53" s="496"/>
      <c r="L53" s="496"/>
      <c r="M53" s="496"/>
      <c r="N53" s="496"/>
      <c r="O53" s="496"/>
      <c r="P53" s="496"/>
      <c r="Q53" s="496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1:33" ht="12.75">
      <c r="A54" s="1053"/>
      <c r="F54" s="108"/>
      <c r="G54" s="108"/>
      <c r="H54" s="108"/>
      <c r="I54" s="108"/>
      <c r="J54" s="496"/>
      <c r="K54" s="496"/>
      <c r="L54" s="496"/>
      <c r="M54" s="496"/>
      <c r="N54" s="496"/>
      <c r="O54" s="496"/>
      <c r="P54" s="496"/>
      <c r="Q54" s="496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</row>
    <row r="55" spans="1:33" ht="12.75">
      <c r="A55" s="1053" t="s">
        <v>730</v>
      </c>
      <c r="F55" s="108"/>
      <c r="G55" s="108"/>
      <c r="H55" s="108"/>
      <c r="I55" s="108"/>
      <c r="J55" s="496"/>
      <c r="K55" s="496"/>
      <c r="L55" s="496"/>
      <c r="M55" s="496"/>
      <c r="N55" s="496"/>
      <c r="O55" s="496"/>
      <c r="P55" s="496"/>
      <c r="Q55" s="496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ht="12.75">
      <c r="A56" s="1053" t="s">
        <v>731</v>
      </c>
    </row>
    <row r="57" ht="12.75">
      <c r="A57" s="1053"/>
    </row>
    <row r="58" ht="12.75">
      <c r="A58" s="1053"/>
    </row>
    <row r="59" ht="12.75">
      <c r="A59" s="1053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10.8515625" style="108" hidden="1" customWidth="1"/>
    <col min="5" max="5" width="6.421875" style="576" customWidth="1"/>
    <col min="6" max="6" width="11.7109375" style="108" hidden="1" customWidth="1"/>
    <col min="7" max="9" width="11.57421875" style="108" hidden="1" customWidth="1"/>
    <col min="10" max="11" width="11.57421875" style="496" hidden="1" customWidth="1"/>
    <col min="12" max="12" width="11.57421875" style="496" customWidth="1"/>
    <col min="13" max="13" width="11.421875" style="496" customWidth="1"/>
    <col min="14" max="14" width="9.8515625" style="496" customWidth="1"/>
    <col min="15" max="15" width="9.140625" style="496" customWidth="1"/>
    <col min="16" max="16" width="9.28125" style="496" customWidth="1"/>
    <col min="17" max="17" width="9.140625" style="496" customWidth="1"/>
    <col min="18" max="18" width="12.00390625" style="496" customWidth="1"/>
    <col min="19" max="19" width="9.140625" style="478" customWidth="1"/>
    <col min="20" max="20" width="3.421875" style="496" customWidth="1"/>
    <col min="21" max="21" width="12.57421875" style="496" customWidth="1"/>
    <col min="22" max="22" width="11.8515625" style="496" customWidth="1"/>
    <col min="23" max="23" width="12.00390625" style="496" customWidth="1"/>
    <col min="24" max="16384" width="9.140625" style="108" customWidth="1"/>
  </cols>
  <sheetData>
    <row r="1" spans="1:23" ht="18">
      <c r="A1" s="1354" t="s">
        <v>665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1355"/>
      <c r="R1" s="1355"/>
      <c r="S1" s="1355"/>
      <c r="T1" s="1355"/>
      <c r="U1" s="1355"/>
      <c r="V1" s="1355"/>
      <c r="W1" s="1355"/>
    </row>
    <row r="2" spans="1:14" ht="21.75" customHeight="1">
      <c r="A2" s="895" t="s">
        <v>595</v>
      </c>
      <c r="B2" s="896"/>
      <c r="M2" s="897"/>
      <c r="N2" s="897"/>
    </row>
    <row r="3" spans="1:14" ht="12.75">
      <c r="A3" s="902"/>
      <c r="M3" s="897"/>
      <c r="N3" s="897"/>
    </row>
    <row r="4" spans="1:14" ht="13.5" thickBot="1">
      <c r="A4" s="1053"/>
      <c r="B4" s="186"/>
      <c r="C4" s="186"/>
      <c r="D4" s="186"/>
      <c r="E4" s="577"/>
      <c r="F4" s="186"/>
      <c r="G4" s="186"/>
      <c r="M4" s="897"/>
      <c r="N4" s="897"/>
    </row>
    <row r="5" spans="1:14" ht="16.5" thickBot="1">
      <c r="A5" s="1251" t="s">
        <v>709</v>
      </c>
      <c r="B5" s="1252" t="s">
        <v>732</v>
      </c>
      <c r="C5" s="1253"/>
      <c r="D5" s="1253"/>
      <c r="E5" s="1254"/>
      <c r="F5" s="1253"/>
      <c r="G5" s="1255"/>
      <c r="H5" s="1253"/>
      <c r="I5" s="1253"/>
      <c r="J5" s="1256"/>
      <c r="K5" s="1191"/>
      <c r="L5" s="855"/>
      <c r="M5" s="901"/>
      <c r="N5" s="901"/>
    </row>
    <row r="6" spans="1:14" ht="23.25" customHeight="1" thickBot="1">
      <c r="A6" s="902" t="s">
        <v>494</v>
      </c>
      <c r="M6" s="897"/>
      <c r="N6" s="897"/>
    </row>
    <row r="7" spans="1:23" ht="13.5" thickBot="1">
      <c r="A7" s="1257" t="s">
        <v>27</v>
      </c>
      <c r="B7" s="1258" t="s">
        <v>498</v>
      </c>
      <c r="C7" s="1259"/>
      <c r="D7" s="1259"/>
      <c r="E7" s="1258" t="s">
        <v>501</v>
      </c>
      <c r="F7" s="1259"/>
      <c r="G7" s="1259"/>
      <c r="H7" s="1258" t="s">
        <v>733</v>
      </c>
      <c r="I7" s="1260" t="s">
        <v>667</v>
      </c>
      <c r="J7" s="1260" t="s">
        <v>668</v>
      </c>
      <c r="K7" s="1260" t="s">
        <v>669</v>
      </c>
      <c r="L7" s="1261" t="s">
        <v>670</v>
      </c>
      <c r="M7" s="1262"/>
      <c r="N7" s="1261" t="s">
        <v>495</v>
      </c>
      <c r="O7" s="1268"/>
      <c r="P7" s="1268"/>
      <c r="Q7" s="1262"/>
      <c r="R7" s="1265" t="s">
        <v>671</v>
      </c>
      <c r="S7" s="1266" t="s">
        <v>497</v>
      </c>
      <c r="U7" s="1267" t="s">
        <v>672</v>
      </c>
      <c r="V7" s="1268"/>
      <c r="W7" s="1262"/>
    </row>
    <row r="8" spans="1:23" ht="13.5" thickBot="1">
      <c r="A8" s="1269"/>
      <c r="B8" s="1270"/>
      <c r="C8" s="1271" t="s">
        <v>499</v>
      </c>
      <c r="D8" s="1271" t="s">
        <v>500</v>
      </c>
      <c r="E8" s="1270"/>
      <c r="F8" s="1271" t="s">
        <v>673</v>
      </c>
      <c r="G8" s="1271" t="s">
        <v>674</v>
      </c>
      <c r="H8" s="1270"/>
      <c r="I8" s="1270"/>
      <c r="J8" s="1270"/>
      <c r="K8" s="1270"/>
      <c r="L8" s="1272" t="s">
        <v>31</v>
      </c>
      <c r="M8" s="1272" t="s">
        <v>32</v>
      </c>
      <c r="N8" s="1273" t="s">
        <v>508</v>
      </c>
      <c r="O8" s="1274" t="s">
        <v>511</v>
      </c>
      <c r="P8" s="1275" t="s">
        <v>514</v>
      </c>
      <c r="Q8" s="1276" t="s">
        <v>517</v>
      </c>
      <c r="R8" s="1272" t="s">
        <v>518</v>
      </c>
      <c r="S8" s="1277" t="s">
        <v>519</v>
      </c>
      <c r="U8" s="1365" t="s">
        <v>676</v>
      </c>
      <c r="V8" s="1366" t="s">
        <v>677</v>
      </c>
      <c r="W8" s="1366" t="s">
        <v>678</v>
      </c>
    </row>
    <row r="9" spans="1:23" ht="12.75">
      <c r="A9" s="1279" t="s">
        <v>520</v>
      </c>
      <c r="B9" s="1194"/>
      <c r="C9" s="1195">
        <v>104</v>
      </c>
      <c r="D9" s="1195">
        <v>104</v>
      </c>
      <c r="E9" s="1196"/>
      <c r="F9" s="1197">
        <v>36</v>
      </c>
      <c r="G9" s="1197">
        <v>33</v>
      </c>
      <c r="H9" s="1197">
        <v>32</v>
      </c>
      <c r="I9" s="1356">
        <v>32</v>
      </c>
      <c r="J9" s="1198">
        <v>35</v>
      </c>
      <c r="K9" s="1198">
        <v>32</v>
      </c>
      <c r="L9" s="1280"/>
      <c r="M9" s="1280"/>
      <c r="N9" s="1281">
        <v>33</v>
      </c>
      <c r="O9" s="983">
        <f>U9</f>
        <v>33</v>
      </c>
      <c r="P9" s="1368">
        <f>V9</f>
        <v>33</v>
      </c>
      <c r="Q9" s="1369"/>
      <c r="R9" s="1284" t="s">
        <v>521</v>
      </c>
      <c r="S9" s="1285" t="s">
        <v>521</v>
      </c>
      <c r="T9" s="1068"/>
      <c r="U9" s="1362">
        <v>33</v>
      </c>
      <c r="V9" s="1362">
        <v>33</v>
      </c>
      <c r="W9" s="1198"/>
    </row>
    <row r="10" spans="1:23" ht="13.5" thickBot="1">
      <c r="A10" s="1286" t="s">
        <v>522</v>
      </c>
      <c r="B10" s="480"/>
      <c r="C10" s="1200">
        <v>101</v>
      </c>
      <c r="D10" s="1200">
        <v>104</v>
      </c>
      <c r="E10" s="1201"/>
      <c r="F10" s="1202">
        <v>36</v>
      </c>
      <c r="G10" s="1202">
        <v>33</v>
      </c>
      <c r="H10" s="1202">
        <v>32</v>
      </c>
      <c r="I10" s="1357">
        <v>32</v>
      </c>
      <c r="J10" s="1203">
        <v>34</v>
      </c>
      <c r="K10" s="1203">
        <v>33.7</v>
      </c>
      <c r="L10" s="1287"/>
      <c r="M10" s="1287"/>
      <c r="N10" s="1288">
        <v>33</v>
      </c>
      <c r="O10" s="1001">
        <f aca="true" t="shared" si="0" ref="O10:P21">U10</f>
        <v>32.58</v>
      </c>
      <c r="P10" s="1495">
        <f t="shared" si="0"/>
        <v>32.5</v>
      </c>
      <c r="Q10" s="1380"/>
      <c r="R10" s="1287" t="s">
        <v>521</v>
      </c>
      <c r="S10" s="1291" t="s">
        <v>521</v>
      </c>
      <c r="T10" s="1068"/>
      <c r="U10" s="1318">
        <v>32.58</v>
      </c>
      <c r="V10" s="1318">
        <v>32.5</v>
      </c>
      <c r="W10" s="1203"/>
    </row>
    <row r="11" spans="1:23" ht="12.75">
      <c r="A11" s="1293" t="s">
        <v>523</v>
      </c>
      <c r="B11" s="1205" t="s">
        <v>524</v>
      </c>
      <c r="C11" s="501">
        <v>37915</v>
      </c>
      <c r="D11" s="501">
        <v>39774</v>
      </c>
      <c r="E11" s="1206" t="s">
        <v>525</v>
      </c>
      <c r="F11" s="1207">
        <v>9128</v>
      </c>
      <c r="G11" s="1207">
        <v>9847</v>
      </c>
      <c r="H11" s="1207">
        <v>10246</v>
      </c>
      <c r="I11" s="1358">
        <v>9923</v>
      </c>
      <c r="J11" s="1208">
        <v>10193</v>
      </c>
      <c r="K11" s="1208">
        <v>10562</v>
      </c>
      <c r="L11" s="1294" t="s">
        <v>521</v>
      </c>
      <c r="M11" s="1294" t="s">
        <v>521</v>
      </c>
      <c r="N11" s="1295">
        <v>10685</v>
      </c>
      <c r="O11" s="983">
        <f t="shared" si="0"/>
        <v>10726</v>
      </c>
      <c r="P11" s="1376">
        <f t="shared" si="0"/>
        <v>10824</v>
      </c>
      <c r="Q11" s="983"/>
      <c r="R11" s="1209" t="s">
        <v>521</v>
      </c>
      <c r="S11" s="1298" t="s">
        <v>521</v>
      </c>
      <c r="T11" s="1068"/>
      <c r="U11" s="1362">
        <v>10726</v>
      </c>
      <c r="V11" s="1362">
        <v>10824</v>
      </c>
      <c r="W11" s="1208"/>
    </row>
    <row r="12" spans="1:23" ht="12.75">
      <c r="A12" s="1299" t="s">
        <v>526</v>
      </c>
      <c r="B12" s="1210" t="s">
        <v>527</v>
      </c>
      <c r="C12" s="491">
        <v>-16164</v>
      </c>
      <c r="D12" s="491">
        <v>-17825</v>
      </c>
      <c r="E12" s="1206" t="s">
        <v>528</v>
      </c>
      <c r="F12" s="1207">
        <v>-8254</v>
      </c>
      <c r="G12" s="1207">
        <v>-9049</v>
      </c>
      <c r="H12" s="1207">
        <v>-9430</v>
      </c>
      <c r="I12" s="1358">
        <v>8973</v>
      </c>
      <c r="J12" s="1208">
        <v>9341</v>
      </c>
      <c r="K12" s="1208">
        <v>9745</v>
      </c>
      <c r="L12" s="1300" t="s">
        <v>521</v>
      </c>
      <c r="M12" s="1300" t="s">
        <v>521</v>
      </c>
      <c r="N12" s="1301">
        <v>9889</v>
      </c>
      <c r="O12" s="992">
        <f t="shared" si="0"/>
        <v>9951</v>
      </c>
      <c r="P12" s="1376">
        <f t="shared" si="0"/>
        <v>10070</v>
      </c>
      <c r="Q12" s="992"/>
      <c r="R12" s="1209" t="s">
        <v>521</v>
      </c>
      <c r="S12" s="1298" t="s">
        <v>521</v>
      </c>
      <c r="T12" s="1068"/>
      <c r="U12" s="1315">
        <v>9951</v>
      </c>
      <c r="V12" s="1315">
        <v>10070</v>
      </c>
      <c r="W12" s="1208"/>
    </row>
    <row r="13" spans="1:23" ht="12.75">
      <c r="A13" s="1299" t="s">
        <v>529</v>
      </c>
      <c r="B13" s="1210" t="s">
        <v>679</v>
      </c>
      <c r="C13" s="491">
        <v>604</v>
      </c>
      <c r="D13" s="491">
        <v>619</v>
      </c>
      <c r="E13" s="1206" t="s">
        <v>531</v>
      </c>
      <c r="F13" s="1207">
        <v>155</v>
      </c>
      <c r="G13" s="1207">
        <v>171</v>
      </c>
      <c r="H13" s="1207">
        <v>231</v>
      </c>
      <c r="I13" s="1358">
        <v>222</v>
      </c>
      <c r="J13" s="1208">
        <v>127</v>
      </c>
      <c r="K13" s="1208">
        <v>114</v>
      </c>
      <c r="L13" s="1300" t="s">
        <v>521</v>
      </c>
      <c r="M13" s="1300" t="s">
        <v>521</v>
      </c>
      <c r="N13" s="1301">
        <v>126</v>
      </c>
      <c r="O13" s="992">
        <f t="shared" si="0"/>
        <v>83</v>
      </c>
      <c r="P13" s="1376">
        <f t="shared" si="0"/>
        <v>121</v>
      </c>
      <c r="Q13" s="992"/>
      <c r="R13" s="1209" t="s">
        <v>521</v>
      </c>
      <c r="S13" s="1298" t="s">
        <v>521</v>
      </c>
      <c r="T13" s="1068"/>
      <c r="U13" s="1315">
        <v>83</v>
      </c>
      <c r="V13" s="1315">
        <v>121</v>
      </c>
      <c r="W13" s="1208"/>
    </row>
    <row r="14" spans="1:23" ht="12.75">
      <c r="A14" s="1299" t="s">
        <v>532</v>
      </c>
      <c r="B14" s="1210" t="s">
        <v>680</v>
      </c>
      <c r="C14" s="491">
        <v>221</v>
      </c>
      <c r="D14" s="491">
        <v>610</v>
      </c>
      <c r="E14" s="1206" t="s">
        <v>521</v>
      </c>
      <c r="F14" s="1207">
        <v>1778</v>
      </c>
      <c r="G14" s="1207">
        <v>1611</v>
      </c>
      <c r="H14" s="1207">
        <v>1677</v>
      </c>
      <c r="I14" s="1358">
        <v>1597</v>
      </c>
      <c r="J14" s="1208">
        <v>1651</v>
      </c>
      <c r="K14" s="1208">
        <v>1722</v>
      </c>
      <c r="L14" s="1300" t="s">
        <v>521</v>
      </c>
      <c r="M14" s="1300" t="s">
        <v>521</v>
      </c>
      <c r="N14" s="1301">
        <v>4083</v>
      </c>
      <c r="O14" s="992">
        <f t="shared" si="0"/>
        <v>3090</v>
      </c>
      <c r="P14" s="1376">
        <f t="shared" si="0"/>
        <v>2242</v>
      </c>
      <c r="Q14" s="992"/>
      <c r="R14" s="1209" t="s">
        <v>521</v>
      </c>
      <c r="S14" s="1298" t="s">
        <v>521</v>
      </c>
      <c r="T14" s="1068"/>
      <c r="U14" s="1315">
        <v>3090</v>
      </c>
      <c r="V14" s="1315">
        <v>2242</v>
      </c>
      <c r="W14" s="1208"/>
    </row>
    <row r="15" spans="1:23" ht="13.5" thickBot="1">
      <c r="A15" s="1279" t="s">
        <v>534</v>
      </c>
      <c r="B15" s="1211" t="s">
        <v>681</v>
      </c>
      <c r="C15" s="1212">
        <v>2021</v>
      </c>
      <c r="D15" s="1212">
        <v>852</v>
      </c>
      <c r="E15" s="1213" t="s">
        <v>536</v>
      </c>
      <c r="F15" s="1214">
        <v>2151</v>
      </c>
      <c r="G15" s="1214">
        <v>1665</v>
      </c>
      <c r="H15" s="1214">
        <v>1411</v>
      </c>
      <c r="I15" s="1359">
        <v>1629</v>
      </c>
      <c r="J15" s="1215">
        <v>2235</v>
      </c>
      <c r="K15" s="1215">
        <v>2199</v>
      </c>
      <c r="L15" s="1304" t="s">
        <v>521</v>
      </c>
      <c r="M15" s="1304" t="s">
        <v>521</v>
      </c>
      <c r="N15" s="1305">
        <v>3406</v>
      </c>
      <c r="O15" s="1496">
        <f t="shared" si="0"/>
        <v>4760</v>
      </c>
      <c r="P15" s="1376">
        <f t="shared" si="0"/>
        <v>3708</v>
      </c>
      <c r="Q15" s="1001"/>
      <c r="R15" s="1216" t="s">
        <v>521</v>
      </c>
      <c r="S15" s="1285" t="s">
        <v>521</v>
      </c>
      <c r="T15" s="1068"/>
      <c r="U15" s="1470">
        <v>4760</v>
      </c>
      <c r="V15" s="1470">
        <v>3708</v>
      </c>
      <c r="W15" s="1215"/>
    </row>
    <row r="16" spans="1:23" ht="15" thickBot="1">
      <c r="A16" s="1308" t="s">
        <v>537</v>
      </c>
      <c r="B16" s="1217"/>
      <c r="C16" s="507">
        <v>24618</v>
      </c>
      <c r="D16" s="507">
        <v>24087</v>
      </c>
      <c r="E16" s="1218"/>
      <c r="F16" s="1157">
        <v>4978</v>
      </c>
      <c r="G16" s="1157">
        <v>4288</v>
      </c>
      <c r="H16" s="1157">
        <v>4157</v>
      </c>
      <c r="I16" s="1081">
        <v>4398</v>
      </c>
      <c r="J16" s="1360">
        <f>J11-J12+J13+J14+J15</f>
        <v>4865</v>
      </c>
      <c r="K16" s="1360">
        <f>K11-K12+K13+K14+K15</f>
        <v>4852</v>
      </c>
      <c r="L16" s="1081" t="s">
        <v>521</v>
      </c>
      <c r="M16" s="1081" t="s">
        <v>521</v>
      </c>
      <c r="N16" s="1383">
        <f>N11-N12+N13+N14+N15</f>
        <v>8411</v>
      </c>
      <c r="O16" s="1383">
        <f>O11-O12+O13+O14+O15</f>
        <v>8708</v>
      </c>
      <c r="P16" s="1383">
        <f>P11-P12+P13+P14+P15</f>
        <v>6825</v>
      </c>
      <c r="Q16" s="1384"/>
      <c r="R16" s="1311" t="s">
        <v>521</v>
      </c>
      <c r="S16" s="1312" t="s">
        <v>521</v>
      </c>
      <c r="T16" s="1068"/>
      <c r="U16" s="1360">
        <f>U11-U12+U13+U14+U15</f>
        <v>8708</v>
      </c>
      <c r="V16" s="1360">
        <f>V11-V12+V13+V14+V15</f>
        <v>6825</v>
      </c>
      <c r="W16" s="1360">
        <f>W11-W12+W13+W14+W15</f>
        <v>0</v>
      </c>
    </row>
    <row r="17" spans="1:23" ht="12.75">
      <c r="A17" s="1279" t="s">
        <v>538</v>
      </c>
      <c r="B17" s="1205" t="s">
        <v>539</v>
      </c>
      <c r="C17" s="501">
        <v>7043</v>
      </c>
      <c r="D17" s="501">
        <v>7240</v>
      </c>
      <c r="E17" s="1213">
        <v>401</v>
      </c>
      <c r="F17" s="1214">
        <v>919</v>
      </c>
      <c r="G17" s="1214">
        <v>843</v>
      </c>
      <c r="H17" s="1214">
        <v>861</v>
      </c>
      <c r="I17" s="1359">
        <v>994</v>
      </c>
      <c r="J17" s="1215">
        <v>897</v>
      </c>
      <c r="K17" s="1215">
        <v>861</v>
      </c>
      <c r="L17" s="1294" t="s">
        <v>521</v>
      </c>
      <c r="M17" s="1294" t="s">
        <v>521</v>
      </c>
      <c r="N17" s="1305">
        <v>841</v>
      </c>
      <c r="O17" s="1010">
        <f t="shared" si="0"/>
        <v>820</v>
      </c>
      <c r="P17" s="1376">
        <f>V17</f>
        <v>799</v>
      </c>
      <c r="Q17" s="983"/>
      <c r="R17" s="1216" t="s">
        <v>521</v>
      </c>
      <c r="S17" s="1285" t="s">
        <v>521</v>
      </c>
      <c r="T17" s="1068"/>
      <c r="U17" s="1314">
        <v>820</v>
      </c>
      <c r="V17" s="1314">
        <v>799</v>
      </c>
      <c r="W17" s="1215"/>
    </row>
    <row r="18" spans="1:23" ht="12.75">
      <c r="A18" s="1299" t="s">
        <v>540</v>
      </c>
      <c r="B18" s="1210" t="s">
        <v>541</v>
      </c>
      <c r="C18" s="491">
        <v>1001</v>
      </c>
      <c r="D18" s="491">
        <v>820</v>
      </c>
      <c r="E18" s="1206" t="s">
        <v>542</v>
      </c>
      <c r="F18" s="1207">
        <v>366</v>
      </c>
      <c r="G18" s="1207">
        <v>428</v>
      </c>
      <c r="H18" s="1207">
        <v>383</v>
      </c>
      <c r="I18" s="1358">
        <v>285</v>
      </c>
      <c r="J18" s="1208">
        <v>736</v>
      </c>
      <c r="K18" s="1208">
        <v>310</v>
      </c>
      <c r="L18" s="1300" t="s">
        <v>521</v>
      </c>
      <c r="M18" s="1300" t="s">
        <v>521</v>
      </c>
      <c r="N18" s="1301">
        <v>337</v>
      </c>
      <c r="O18" s="992">
        <f t="shared" si="0"/>
        <v>381</v>
      </c>
      <c r="P18" s="1376">
        <f>V18</f>
        <v>413</v>
      </c>
      <c r="Q18" s="992"/>
      <c r="R18" s="1209" t="s">
        <v>521</v>
      </c>
      <c r="S18" s="1298" t="s">
        <v>521</v>
      </c>
      <c r="T18" s="1068"/>
      <c r="U18" s="1315">
        <v>381</v>
      </c>
      <c r="V18" s="1315">
        <v>413</v>
      </c>
      <c r="W18" s="1208"/>
    </row>
    <row r="19" spans="1:23" ht="12.75">
      <c r="A19" s="1299" t="s">
        <v>543</v>
      </c>
      <c r="B19" s="1210" t="s">
        <v>682</v>
      </c>
      <c r="C19" s="491">
        <v>14718</v>
      </c>
      <c r="D19" s="491">
        <v>14718</v>
      </c>
      <c r="E19" s="1206" t="s">
        <v>521</v>
      </c>
      <c r="F19" s="1207">
        <v>0</v>
      </c>
      <c r="G19" s="1207">
        <v>0</v>
      </c>
      <c r="H19" s="1207">
        <v>0</v>
      </c>
      <c r="I19" s="1358">
        <v>0</v>
      </c>
      <c r="J19" s="1208">
        <v>0</v>
      </c>
      <c r="K19" s="1208">
        <v>534</v>
      </c>
      <c r="L19" s="1300" t="s">
        <v>521</v>
      </c>
      <c r="M19" s="1300" t="s">
        <v>521</v>
      </c>
      <c r="N19" s="1301">
        <v>304</v>
      </c>
      <c r="O19" s="992">
        <f t="shared" si="0"/>
        <v>190</v>
      </c>
      <c r="P19" s="1376">
        <f>V19</f>
        <v>59</v>
      </c>
      <c r="Q19" s="992"/>
      <c r="R19" s="1209" t="s">
        <v>521</v>
      </c>
      <c r="S19" s="1298" t="s">
        <v>521</v>
      </c>
      <c r="T19" s="1068"/>
      <c r="U19" s="1315">
        <v>190</v>
      </c>
      <c r="V19" s="1315">
        <v>59</v>
      </c>
      <c r="W19" s="1208"/>
    </row>
    <row r="20" spans="1:23" ht="12.75">
      <c r="A20" s="1299" t="s">
        <v>545</v>
      </c>
      <c r="B20" s="1210" t="s">
        <v>544</v>
      </c>
      <c r="C20" s="491">
        <v>1758</v>
      </c>
      <c r="D20" s="491">
        <v>1762</v>
      </c>
      <c r="E20" s="1206" t="s">
        <v>521</v>
      </c>
      <c r="F20" s="1207">
        <v>2121</v>
      </c>
      <c r="G20" s="1207">
        <v>1263</v>
      </c>
      <c r="H20" s="1207">
        <v>1314</v>
      </c>
      <c r="I20" s="1358">
        <v>3005</v>
      </c>
      <c r="J20" s="1208">
        <v>3165</v>
      </c>
      <c r="K20" s="1208">
        <v>3109</v>
      </c>
      <c r="L20" s="1300" t="s">
        <v>521</v>
      </c>
      <c r="M20" s="1300" t="s">
        <v>521</v>
      </c>
      <c r="N20" s="1301">
        <v>6887</v>
      </c>
      <c r="O20" s="992">
        <f t="shared" si="0"/>
        <v>6815</v>
      </c>
      <c r="P20" s="1376">
        <f>V20</f>
        <v>4754</v>
      </c>
      <c r="Q20" s="992"/>
      <c r="R20" s="1209" t="s">
        <v>521</v>
      </c>
      <c r="S20" s="1298" t="s">
        <v>521</v>
      </c>
      <c r="T20" s="1068"/>
      <c r="U20" s="1315">
        <v>6815</v>
      </c>
      <c r="V20" s="1315">
        <v>4754</v>
      </c>
      <c r="W20" s="1208"/>
    </row>
    <row r="21" spans="1:23" ht="13.5" thickBot="1">
      <c r="A21" s="1286" t="s">
        <v>547</v>
      </c>
      <c r="B21" s="1220"/>
      <c r="C21" s="1221">
        <v>0</v>
      </c>
      <c r="D21" s="1221">
        <v>0</v>
      </c>
      <c r="E21" s="1222" t="s">
        <v>521</v>
      </c>
      <c r="F21" s="1207">
        <v>0</v>
      </c>
      <c r="G21" s="1207">
        <v>0</v>
      </c>
      <c r="H21" s="1207">
        <v>0</v>
      </c>
      <c r="I21" s="1357">
        <v>0</v>
      </c>
      <c r="J21" s="1223">
        <v>0</v>
      </c>
      <c r="K21" s="1223">
        <v>0</v>
      </c>
      <c r="L21" s="1287" t="s">
        <v>521</v>
      </c>
      <c r="M21" s="1287" t="s">
        <v>521</v>
      </c>
      <c r="N21" s="1316">
        <v>0</v>
      </c>
      <c r="O21" s="1001">
        <f t="shared" si="0"/>
        <v>0</v>
      </c>
      <c r="P21" s="1380">
        <f>V21</f>
        <v>0</v>
      </c>
      <c r="Q21" s="1001"/>
      <c r="R21" s="1224" t="s">
        <v>521</v>
      </c>
      <c r="S21" s="1317" t="s">
        <v>521</v>
      </c>
      <c r="T21" s="1068"/>
      <c r="U21" s="1318">
        <v>0</v>
      </c>
      <c r="V21" s="1318">
        <v>0</v>
      </c>
      <c r="W21" s="1223"/>
    </row>
    <row r="22" spans="1:24" ht="14.25">
      <c r="A22" s="1319" t="s">
        <v>549</v>
      </c>
      <c r="B22" s="1205"/>
      <c r="C22" s="501">
        <v>12472</v>
      </c>
      <c r="D22" s="501">
        <v>13728</v>
      </c>
      <c r="E22" s="1225" t="s">
        <v>521</v>
      </c>
      <c r="F22" s="1226">
        <v>16044</v>
      </c>
      <c r="G22" s="1226">
        <v>16453</v>
      </c>
      <c r="H22" s="1226">
        <v>15723</v>
      </c>
      <c r="I22" s="1227">
        <v>15041</v>
      </c>
      <c r="J22" s="1227">
        <v>15699</v>
      </c>
      <c r="K22" s="1227">
        <v>16448</v>
      </c>
      <c r="L22" s="1320">
        <f>L35</f>
        <v>16508</v>
      </c>
      <c r="M22" s="1320">
        <f>SUM(M25:M34)</f>
        <v>16400</v>
      </c>
      <c r="N22" s="1321">
        <v>4130</v>
      </c>
      <c r="O22" s="1497">
        <f>U22-N22</f>
        <v>4309</v>
      </c>
      <c r="P22" s="983">
        <f>V22-U22</f>
        <v>4118</v>
      </c>
      <c r="Q22" s="1498"/>
      <c r="R22" s="1137">
        <f>SUM(N22:Q22)</f>
        <v>12557</v>
      </c>
      <c r="S22" s="1138">
        <f>(R22/M22)*100</f>
        <v>76.5670731707317</v>
      </c>
      <c r="T22" s="1068"/>
      <c r="U22" s="1362">
        <v>8439</v>
      </c>
      <c r="V22" s="1362">
        <v>12557</v>
      </c>
      <c r="W22" s="1227"/>
      <c r="X22" s="114"/>
    </row>
    <row r="23" spans="1:23" ht="14.25">
      <c r="A23" s="1299" t="s">
        <v>551</v>
      </c>
      <c r="B23" s="1210" t="s">
        <v>552</v>
      </c>
      <c r="C23" s="491">
        <v>0</v>
      </c>
      <c r="D23" s="491">
        <v>0</v>
      </c>
      <c r="E23" s="1228" t="s">
        <v>521</v>
      </c>
      <c r="F23" s="1207">
        <v>0</v>
      </c>
      <c r="G23" s="1207">
        <v>0</v>
      </c>
      <c r="H23" s="1207">
        <v>0</v>
      </c>
      <c r="I23" s="1229">
        <v>0</v>
      </c>
      <c r="J23" s="1229">
        <v>0</v>
      </c>
      <c r="K23" s="1229">
        <v>0</v>
      </c>
      <c r="L23" s="1324"/>
      <c r="M23" s="1325"/>
      <c r="N23" s="1324"/>
      <c r="O23" s="1497">
        <f aca="true" t="shared" si="1" ref="O23:O40">U23-N23</f>
        <v>0</v>
      </c>
      <c r="P23" s="992">
        <f aca="true" t="shared" si="2" ref="P23:P40">V23-U23</f>
        <v>0</v>
      </c>
      <c r="Q23" s="1376"/>
      <c r="R23" s="1140">
        <f aca="true" t="shared" si="3" ref="R23:R45">SUM(N23:Q23)</f>
        <v>0</v>
      </c>
      <c r="S23" s="1141" t="e">
        <f aca="true" t="shared" si="4" ref="S23:S45">(R23/M23)*100</f>
        <v>#DIV/0!</v>
      </c>
      <c r="T23" s="1068"/>
      <c r="U23" s="1315">
        <v>0</v>
      </c>
      <c r="V23" s="1315">
        <v>0</v>
      </c>
      <c r="W23" s="1229"/>
    </row>
    <row r="24" spans="1:23" ht="15" thickBot="1">
      <c r="A24" s="1286" t="s">
        <v>553</v>
      </c>
      <c r="B24" s="1220" t="s">
        <v>552</v>
      </c>
      <c r="C24" s="1221">
        <v>0</v>
      </c>
      <c r="D24" s="1221">
        <v>1215</v>
      </c>
      <c r="E24" s="1230">
        <v>672</v>
      </c>
      <c r="F24" s="1231">
        <v>4494</v>
      </c>
      <c r="G24" s="1231">
        <v>5315</v>
      </c>
      <c r="H24" s="1231">
        <v>4983</v>
      </c>
      <c r="I24" s="1232">
        <v>4700</v>
      </c>
      <c r="J24" s="1232">
        <v>4400</v>
      </c>
      <c r="K24" s="1232">
        <v>4500</v>
      </c>
      <c r="L24" s="1329">
        <f>L25+L26+L27+L28+L29</f>
        <v>4500</v>
      </c>
      <c r="M24" s="1329">
        <f>M25+M26+M27+M28+M29</f>
        <v>4500</v>
      </c>
      <c r="N24" s="1330">
        <v>1125</v>
      </c>
      <c r="O24" s="1499">
        <f t="shared" si="1"/>
        <v>1125</v>
      </c>
      <c r="P24" s="1001">
        <f t="shared" si="2"/>
        <v>1125</v>
      </c>
      <c r="Q24" s="1373"/>
      <c r="R24" s="1144">
        <f t="shared" si="3"/>
        <v>3375</v>
      </c>
      <c r="S24" s="1145">
        <f t="shared" si="4"/>
        <v>75</v>
      </c>
      <c r="T24" s="1068"/>
      <c r="U24" s="1470">
        <v>2250</v>
      </c>
      <c r="V24" s="1470">
        <v>3375</v>
      </c>
      <c r="W24" s="1232"/>
    </row>
    <row r="25" spans="1:23" ht="14.25">
      <c r="A25" s="1293" t="s">
        <v>554</v>
      </c>
      <c r="B25" s="1233" t="s">
        <v>683</v>
      </c>
      <c r="C25" s="501">
        <v>6341</v>
      </c>
      <c r="D25" s="501">
        <v>6960</v>
      </c>
      <c r="E25" s="1234">
        <v>501</v>
      </c>
      <c r="F25" s="1207">
        <v>2712</v>
      </c>
      <c r="G25" s="1207">
        <v>3239</v>
      </c>
      <c r="H25" s="1207">
        <v>2518</v>
      </c>
      <c r="I25" s="1235">
        <v>2062</v>
      </c>
      <c r="J25" s="1235">
        <v>2587</v>
      </c>
      <c r="K25" s="1235">
        <v>2208</v>
      </c>
      <c r="L25" s="1320">
        <v>900</v>
      </c>
      <c r="M25" s="1320">
        <v>900</v>
      </c>
      <c r="N25" s="1320">
        <v>565</v>
      </c>
      <c r="O25" s="1064">
        <f t="shared" si="1"/>
        <v>642</v>
      </c>
      <c r="P25" s="983">
        <f t="shared" si="2"/>
        <v>523</v>
      </c>
      <c r="Q25" s="1498"/>
      <c r="R25" s="1150">
        <f t="shared" si="3"/>
        <v>1730</v>
      </c>
      <c r="S25" s="1165">
        <f t="shared" si="4"/>
        <v>192.22222222222223</v>
      </c>
      <c r="T25" s="1068"/>
      <c r="U25" s="1314">
        <v>1207</v>
      </c>
      <c r="V25" s="1314">
        <v>1730</v>
      </c>
      <c r="W25" s="1235"/>
    </row>
    <row r="26" spans="1:23" ht="14.25">
      <c r="A26" s="1299" t="s">
        <v>556</v>
      </c>
      <c r="B26" s="1236" t="s">
        <v>684</v>
      </c>
      <c r="C26" s="491">
        <v>1745</v>
      </c>
      <c r="D26" s="491">
        <v>2223</v>
      </c>
      <c r="E26" s="1237">
        <v>502</v>
      </c>
      <c r="F26" s="1207">
        <v>1777</v>
      </c>
      <c r="G26" s="1207">
        <v>1284</v>
      </c>
      <c r="H26" s="1207">
        <v>1847</v>
      </c>
      <c r="I26" s="1229">
        <v>1950</v>
      </c>
      <c r="J26" s="1229">
        <v>1731</v>
      </c>
      <c r="K26" s="1229">
        <v>1777</v>
      </c>
      <c r="L26" s="1324">
        <v>2100</v>
      </c>
      <c r="M26" s="1324">
        <v>2100</v>
      </c>
      <c r="N26" s="1324">
        <v>823</v>
      </c>
      <c r="O26" s="1497">
        <f t="shared" si="1"/>
        <v>292</v>
      </c>
      <c r="P26" s="992">
        <f t="shared" si="2"/>
        <v>181</v>
      </c>
      <c r="Q26" s="1376"/>
      <c r="R26" s="1152">
        <f t="shared" si="3"/>
        <v>1296</v>
      </c>
      <c r="S26" s="1166">
        <f t="shared" si="4"/>
        <v>61.71428571428571</v>
      </c>
      <c r="T26" s="1068"/>
      <c r="U26" s="1315">
        <v>1115</v>
      </c>
      <c r="V26" s="1315">
        <v>1296</v>
      </c>
      <c r="W26" s="1229"/>
    </row>
    <row r="27" spans="1:23" ht="14.25">
      <c r="A27" s="1299" t="s">
        <v>558</v>
      </c>
      <c r="B27" s="1236" t="s">
        <v>685</v>
      </c>
      <c r="C27" s="491">
        <v>0</v>
      </c>
      <c r="D27" s="491">
        <v>0</v>
      </c>
      <c r="E27" s="1237">
        <v>504</v>
      </c>
      <c r="F27" s="1207">
        <v>173</v>
      </c>
      <c r="G27" s="1207">
        <v>145</v>
      </c>
      <c r="H27" s="1207">
        <v>109</v>
      </c>
      <c r="I27" s="1229">
        <v>108</v>
      </c>
      <c r="J27" s="1229">
        <v>12</v>
      </c>
      <c r="K27" s="1229">
        <v>0</v>
      </c>
      <c r="L27" s="1324"/>
      <c r="M27" s="1324"/>
      <c r="N27" s="1324"/>
      <c r="O27" s="1497">
        <f t="shared" si="1"/>
        <v>0</v>
      </c>
      <c r="P27" s="992">
        <f t="shared" si="2"/>
        <v>0</v>
      </c>
      <c r="Q27" s="1376"/>
      <c r="R27" s="1152">
        <f t="shared" si="3"/>
        <v>0</v>
      </c>
      <c r="S27" s="1166" t="e">
        <f t="shared" si="4"/>
        <v>#DIV/0!</v>
      </c>
      <c r="T27" s="1068"/>
      <c r="U27" s="1315">
        <v>0</v>
      </c>
      <c r="V27" s="1315">
        <v>0</v>
      </c>
      <c r="W27" s="1229"/>
    </row>
    <row r="28" spans="1:23" ht="15">
      <c r="A28" s="1299" t="s">
        <v>560</v>
      </c>
      <c r="B28" s="1236" t="s">
        <v>686</v>
      </c>
      <c r="C28" s="491">
        <v>428</v>
      </c>
      <c r="D28" s="491">
        <v>253</v>
      </c>
      <c r="E28" s="1237">
        <v>511</v>
      </c>
      <c r="F28" s="1207">
        <v>1044</v>
      </c>
      <c r="G28" s="1207">
        <v>1388</v>
      </c>
      <c r="H28" s="1207">
        <v>2056</v>
      </c>
      <c r="I28" s="1229">
        <v>1213</v>
      </c>
      <c r="J28" s="1229">
        <v>985</v>
      </c>
      <c r="K28" s="1229">
        <v>813</v>
      </c>
      <c r="L28" s="1324">
        <v>600</v>
      </c>
      <c r="M28" s="1324">
        <v>600</v>
      </c>
      <c r="N28" s="1324">
        <v>39</v>
      </c>
      <c r="O28" s="1497">
        <f t="shared" si="1"/>
        <v>50</v>
      </c>
      <c r="P28" s="992">
        <f t="shared" si="2"/>
        <v>231</v>
      </c>
      <c r="Q28" s="1376"/>
      <c r="R28" s="1152">
        <f t="shared" si="3"/>
        <v>320</v>
      </c>
      <c r="S28" s="1166">
        <f t="shared" si="4"/>
        <v>53.333333333333336</v>
      </c>
      <c r="T28" s="1068"/>
      <c r="U28" s="1315">
        <v>89</v>
      </c>
      <c r="V28" s="1315">
        <v>320</v>
      </c>
      <c r="W28" s="1229"/>
    </row>
    <row r="29" spans="1:23" ht="15">
      <c r="A29" s="1299" t="s">
        <v>562</v>
      </c>
      <c r="B29" s="1236" t="s">
        <v>687</v>
      </c>
      <c r="C29" s="491">
        <v>1057</v>
      </c>
      <c r="D29" s="491">
        <v>1451</v>
      </c>
      <c r="E29" s="1237">
        <v>518</v>
      </c>
      <c r="F29" s="1207">
        <v>589</v>
      </c>
      <c r="G29" s="1207">
        <v>715</v>
      </c>
      <c r="H29" s="1207">
        <v>566</v>
      </c>
      <c r="I29" s="1229">
        <v>630</v>
      </c>
      <c r="J29" s="1229">
        <v>716</v>
      </c>
      <c r="K29" s="1229">
        <v>773</v>
      </c>
      <c r="L29" s="1324">
        <v>900</v>
      </c>
      <c r="M29" s="1324">
        <v>900</v>
      </c>
      <c r="N29" s="1324">
        <v>183</v>
      </c>
      <c r="O29" s="1497">
        <f t="shared" si="1"/>
        <v>192</v>
      </c>
      <c r="P29" s="992">
        <f t="shared" si="2"/>
        <v>157</v>
      </c>
      <c r="Q29" s="1376"/>
      <c r="R29" s="1152">
        <f t="shared" si="3"/>
        <v>532</v>
      </c>
      <c r="S29" s="1166">
        <f t="shared" si="4"/>
        <v>59.111111111111114</v>
      </c>
      <c r="T29" s="1068"/>
      <c r="U29" s="1315">
        <v>375</v>
      </c>
      <c r="V29" s="1315">
        <v>532</v>
      </c>
      <c r="W29" s="1229"/>
    </row>
    <row r="30" spans="1:23" ht="15">
      <c r="A30" s="1299" t="s">
        <v>564</v>
      </c>
      <c r="B30" s="1238" t="s">
        <v>688</v>
      </c>
      <c r="C30" s="491">
        <v>10408</v>
      </c>
      <c r="D30" s="491">
        <v>11792</v>
      </c>
      <c r="E30" s="1237">
        <v>521</v>
      </c>
      <c r="F30" s="1207">
        <v>8361</v>
      </c>
      <c r="G30" s="1207">
        <v>8126</v>
      </c>
      <c r="H30" s="1207">
        <v>7842</v>
      </c>
      <c r="I30" s="1229">
        <v>7812</v>
      </c>
      <c r="J30" s="1229">
        <v>8393</v>
      </c>
      <c r="K30" s="1229">
        <v>9158</v>
      </c>
      <c r="L30" s="1324">
        <v>8681</v>
      </c>
      <c r="M30" s="1324">
        <v>8602</v>
      </c>
      <c r="N30" s="1324">
        <v>2233</v>
      </c>
      <c r="O30" s="1497">
        <f t="shared" si="1"/>
        <v>2377</v>
      </c>
      <c r="P30" s="992">
        <f t="shared" si="2"/>
        <v>2172</v>
      </c>
      <c r="Q30" s="1376"/>
      <c r="R30" s="1152">
        <f t="shared" si="3"/>
        <v>6782</v>
      </c>
      <c r="S30" s="1166">
        <f t="shared" si="4"/>
        <v>78.84212973727041</v>
      </c>
      <c r="T30" s="1068"/>
      <c r="U30" s="1315">
        <v>4610</v>
      </c>
      <c r="V30" s="1315">
        <v>6782</v>
      </c>
      <c r="W30" s="1229"/>
    </row>
    <row r="31" spans="1:23" ht="15">
      <c r="A31" s="1299" t="s">
        <v>566</v>
      </c>
      <c r="B31" s="1238" t="s">
        <v>689</v>
      </c>
      <c r="C31" s="491">
        <v>3640</v>
      </c>
      <c r="D31" s="491">
        <v>4174</v>
      </c>
      <c r="E31" s="1237" t="s">
        <v>568</v>
      </c>
      <c r="F31" s="1207">
        <v>3075</v>
      </c>
      <c r="G31" s="1207">
        <v>2969</v>
      </c>
      <c r="H31" s="1207">
        <v>2737</v>
      </c>
      <c r="I31" s="1229">
        <v>2860</v>
      </c>
      <c r="J31" s="1229">
        <v>2965</v>
      </c>
      <c r="K31" s="1229">
        <v>3153</v>
      </c>
      <c r="L31" s="1324">
        <v>3038</v>
      </c>
      <c r="M31" s="1324">
        <v>3010</v>
      </c>
      <c r="N31" s="1324">
        <v>765</v>
      </c>
      <c r="O31" s="1497">
        <f t="shared" si="1"/>
        <v>824</v>
      </c>
      <c r="P31" s="992">
        <f t="shared" si="2"/>
        <v>769</v>
      </c>
      <c r="Q31" s="1376"/>
      <c r="R31" s="1152">
        <f t="shared" si="3"/>
        <v>2358</v>
      </c>
      <c r="S31" s="1166">
        <f t="shared" si="4"/>
        <v>78.3388704318937</v>
      </c>
      <c r="T31" s="1068"/>
      <c r="U31" s="1315">
        <v>1589</v>
      </c>
      <c r="V31" s="1315">
        <v>2358</v>
      </c>
      <c r="W31" s="1229"/>
    </row>
    <row r="32" spans="1:23" ht="15">
      <c r="A32" s="1299" t="s">
        <v>569</v>
      </c>
      <c r="B32" s="1236" t="s">
        <v>690</v>
      </c>
      <c r="C32" s="491">
        <v>0</v>
      </c>
      <c r="D32" s="491">
        <v>0</v>
      </c>
      <c r="E32" s="1237">
        <v>557</v>
      </c>
      <c r="F32" s="1207">
        <v>0</v>
      </c>
      <c r="G32" s="1207">
        <v>0</v>
      </c>
      <c r="H32" s="1207">
        <v>0</v>
      </c>
      <c r="I32" s="1229">
        <v>0</v>
      </c>
      <c r="J32" s="1229">
        <v>0</v>
      </c>
      <c r="K32" s="1229">
        <v>0</v>
      </c>
      <c r="L32" s="1324"/>
      <c r="M32" s="1324"/>
      <c r="N32" s="1324">
        <v>0</v>
      </c>
      <c r="O32" s="1497">
        <f t="shared" si="1"/>
        <v>0</v>
      </c>
      <c r="P32" s="992">
        <f t="shared" si="2"/>
        <v>0</v>
      </c>
      <c r="Q32" s="1376"/>
      <c r="R32" s="1152">
        <f t="shared" si="3"/>
        <v>0</v>
      </c>
      <c r="S32" s="1166" t="e">
        <f t="shared" si="4"/>
        <v>#DIV/0!</v>
      </c>
      <c r="T32" s="1068"/>
      <c r="U32" s="1315">
        <v>0</v>
      </c>
      <c r="V32" s="1315">
        <v>0</v>
      </c>
      <c r="W32" s="1229"/>
    </row>
    <row r="33" spans="1:23" ht="15">
      <c r="A33" s="1299" t="s">
        <v>571</v>
      </c>
      <c r="B33" s="1236" t="s">
        <v>691</v>
      </c>
      <c r="C33" s="491">
        <v>1711</v>
      </c>
      <c r="D33" s="491">
        <v>1801</v>
      </c>
      <c r="E33" s="1237">
        <v>551</v>
      </c>
      <c r="F33" s="1207">
        <v>80</v>
      </c>
      <c r="G33" s="1207">
        <v>73</v>
      </c>
      <c r="H33" s="1207">
        <v>95</v>
      </c>
      <c r="I33" s="1229">
        <v>97</v>
      </c>
      <c r="J33" s="1229">
        <v>97</v>
      </c>
      <c r="K33" s="1229">
        <v>93</v>
      </c>
      <c r="L33" s="1324"/>
      <c r="M33" s="1324"/>
      <c r="N33" s="1324">
        <v>21</v>
      </c>
      <c r="O33" s="1497">
        <f t="shared" si="1"/>
        <v>21</v>
      </c>
      <c r="P33" s="992">
        <f t="shared" si="2"/>
        <v>20</v>
      </c>
      <c r="Q33" s="1376"/>
      <c r="R33" s="1152">
        <f t="shared" si="3"/>
        <v>62</v>
      </c>
      <c r="S33" s="1166" t="e">
        <f t="shared" si="4"/>
        <v>#DIV/0!</v>
      </c>
      <c r="T33" s="1068"/>
      <c r="U33" s="1315">
        <v>42</v>
      </c>
      <c r="V33" s="1315">
        <v>62</v>
      </c>
      <c r="W33" s="1229"/>
    </row>
    <row r="34" spans="1:23" ht="15.75" thickBot="1">
      <c r="A34" s="1279" t="s">
        <v>573</v>
      </c>
      <c r="B34" s="1239" t="s">
        <v>692</v>
      </c>
      <c r="C34" s="1212">
        <v>569</v>
      </c>
      <c r="D34" s="1212">
        <v>614</v>
      </c>
      <c r="E34" s="1240" t="s">
        <v>574</v>
      </c>
      <c r="F34" s="1214">
        <v>88</v>
      </c>
      <c r="G34" s="1214">
        <v>138</v>
      </c>
      <c r="H34" s="1214">
        <v>106</v>
      </c>
      <c r="I34" s="1241">
        <v>37</v>
      </c>
      <c r="J34" s="1241">
        <v>46</v>
      </c>
      <c r="K34" s="1241">
        <v>540</v>
      </c>
      <c r="L34" s="1335">
        <v>289</v>
      </c>
      <c r="M34" s="1335">
        <v>288</v>
      </c>
      <c r="N34" s="1336">
        <v>127</v>
      </c>
      <c r="O34" s="1098">
        <f t="shared" si="1"/>
        <v>69</v>
      </c>
      <c r="P34" s="1001">
        <f t="shared" si="2"/>
        <v>97</v>
      </c>
      <c r="Q34" s="1373"/>
      <c r="R34" s="1167">
        <f t="shared" si="3"/>
        <v>293</v>
      </c>
      <c r="S34" s="1168">
        <f t="shared" si="4"/>
        <v>101.73611111111111</v>
      </c>
      <c r="T34" s="1068"/>
      <c r="U34" s="1318">
        <v>196</v>
      </c>
      <c r="V34" s="1318">
        <v>293</v>
      </c>
      <c r="W34" s="1241"/>
    </row>
    <row r="35" spans="1:23" ht="15.75" thickBot="1">
      <c r="A35" s="1338" t="s">
        <v>575</v>
      </c>
      <c r="B35" s="1242" t="s">
        <v>576</v>
      </c>
      <c r="C35" s="534">
        <f>SUM(C25:C34)</f>
        <v>25899</v>
      </c>
      <c r="D35" s="534">
        <f>SUM(D25:D34)</f>
        <v>29268</v>
      </c>
      <c r="E35" s="1243"/>
      <c r="F35" s="1157">
        <f>SUM(F25:F34)</f>
        <v>17899</v>
      </c>
      <c r="G35" s="1157">
        <f>SUM(G25:G34)</f>
        <v>18077</v>
      </c>
      <c r="H35" s="1157">
        <f>SUM(H25:H34)</f>
        <v>17876</v>
      </c>
      <c r="I35" s="1157">
        <v>16769</v>
      </c>
      <c r="J35" s="1157">
        <f aca="true" t="shared" si="5" ref="J35:P35">SUM(J25:J34)</f>
        <v>17532</v>
      </c>
      <c r="K35" s="1157">
        <f t="shared" si="5"/>
        <v>18515</v>
      </c>
      <c r="L35" s="1339">
        <f t="shared" si="5"/>
        <v>16508</v>
      </c>
      <c r="M35" s="1109">
        <f t="shared" si="5"/>
        <v>16400</v>
      </c>
      <c r="N35" s="1109">
        <f t="shared" si="5"/>
        <v>4756</v>
      </c>
      <c r="O35" s="1395">
        <f t="shared" si="5"/>
        <v>4467</v>
      </c>
      <c r="P35" s="1109">
        <f t="shared" si="5"/>
        <v>4150</v>
      </c>
      <c r="Q35" s="1500"/>
      <c r="R35" s="1157">
        <f t="shared" si="3"/>
        <v>13373</v>
      </c>
      <c r="S35" s="1501">
        <f t="shared" si="4"/>
        <v>81.54268292682927</v>
      </c>
      <c r="T35" s="1068"/>
      <c r="U35" s="1157">
        <f>SUM(U25:U34)</f>
        <v>9223</v>
      </c>
      <c r="V35" s="1157">
        <f>SUM(V25:V34)</f>
        <v>13373</v>
      </c>
      <c r="W35" s="1157">
        <f>SUM(W25:W34)</f>
        <v>0</v>
      </c>
    </row>
    <row r="36" spans="1:23" ht="15">
      <c r="A36" s="1293" t="s">
        <v>577</v>
      </c>
      <c r="B36" s="1233" t="s">
        <v>693</v>
      </c>
      <c r="C36" s="501">
        <v>0</v>
      </c>
      <c r="D36" s="501">
        <v>0</v>
      </c>
      <c r="E36" s="1234">
        <v>601</v>
      </c>
      <c r="F36" s="1244">
        <v>0</v>
      </c>
      <c r="G36" s="1244">
        <v>0</v>
      </c>
      <c r="H36" s="1244">
        <v>0</v>
      </c>
      <c r="I36" s="1235">
        <v>0</v>
      </c>
      <c r="J36" s="1235">
        <v>0</v>
      </c>
      <c r="K36" s="1235">
        <v>0</v>
      </c>
      <c r="L36" s="1320"/>
      <c r="M36" s="1341"/>
      <c r="N36" s="1321">
        <v>0</v>
      </c>
      <c r="O36" s="1497">
        <f t="shared" si="1"/>
        <v>0</v>
      </c>
      <c r="P36" s="983">
        <f t="shared" si="2"/>
        <v>0</v>
      </c>
      <c r="Q36" s="1498"/>
      <c r="R36" s="1150">
        <f t="shared" si="3"/>
        <v>0</v>
      </c>
      <c r="S36" s="1138" t="e">
        <f t="shared" si="4"/>
        <v>#DIV/0!</v>
      </c>
      <c r="T36" s="1068"/>
      <c r="U36" s="1244">
        <v>0</v>
      </c>
      <c r="V36" s="1244">
        <v>0</v>
      </c>
      <c r="W36" s="1235"/>
    </row>
    <row r="37" spans="1:23" ht="15">
      <c r="A37" s="1299" t="s">
        <v>579</v>
      </c>
      <c r="B37" s="1236" t="s">
        <v>694</v>
      </c>
      <c r="C37" s="491">
        <v>1190</v>
      </c>
      <c r="D37" s="491">
        <v>1857</v>
      </c>
      <c r="E37" s="1237">
        <v>602</v>
      </c>
      <c r="F37" s="1207">
        <v>1507</v>
      </c>
      <c r="G37" s="1207">
        <v>1622</v>
      </c>
      <c r="H37" s="1207">
        <v>1604</v>
      </c>
      <c r="I37" s="1229">
        <v>1461</v>
      </c>
      <c r="J37" s="1229">
        <v>1519</v>
      </c>
      <c r="K37" s="1229">
        <v>1866</v>
      </c>
      <c r="L37" s="1324"/>
      <c r="M37" s="1325"/>
      <c r="N37" s="1324">
        <v>576</v>
      </c>
      <c r="O37" s="1497">
        <f t="shared" si="1"/>
        <v>609</v>
      </c>
      <c r="P37" s="992">
        <f t="shared" si="2"/>
        <v>314</v>
      </c>
      <c r="Q37" s="1376"/>
      <c r="R37" s="1152">
        <f t="shared" si="3"/>
        <v>1499</v>
      </c>
      <c r="S37" s="1141" t="e">
        <f t="shared" si="4"/>
        <v>#DIV/0!</v>
      </c>
      <c r="T37" s="1068"/>
      <c r="U37" s="1207">
        <v>1185</v>
      </c>
      <c r="V37" s="1207">
        <v>1499</v>
      </c>
      <c r="W37" s="1229"/>
    </row>
    <row r="38" spans="1:23" ht="15">
      <c r="A38" s="1299" t="s">
        <v>581</v>
      </c>
      <c r="B38" s="1236" t="s">
        <v>695</v>
      </c>
      <c r="C38" s="491">
        <v>0</v>
      </c>
      <c r="D38" s="491">
        <v>0</v>
      </c>
      <c r="E38" s="1237">
        <v>604</v>
      </c>
      <c r="F38" s="1207">
        <v>193</v>
      </c>
      <c r="G38" s="1207">
        <v>163</v>
      </c>
      <c r="H38" s="1207">
        <v>124</v>
      </c>
      <c r="I38" s="1229">
        <v>124</v>
      </c>
      <c r="J38" s="1229">
        <v>14</v>
      </c>
      <c r="K38" s="1229">
        <v>0</v>
      </c>
      <c r="L38" s="1324"/>
      <c r="M38" s="1325"/>
      <c r="N38" s="1324"/>
      <c r="O38" s="1497">
        <f t="shared" si="1"/>
        <v>0</v>
      </c>
      <c r="P38" s="992">
        <f t="shared" si="2"/>
        <v>0</v>
      </c>
      <c r="Q38" s="1376"/>
      <c r="R38" s="1152">
        <f t="shared" si="3"/>
        <v>0</v>
      </c>
      <c r="S38" s="1141" t="e">
        <f t="shared" si="4"/>
        <v>#DIV/0!</v>
      </c>
      <c r="T38" s="1068"/>
      <c r="U38" s="1207">
        <v>0</v>
      </c>
      <c r="V38" s="1207">
        <v>0</v>
      </c>
      <c r="W38" s="1229"/>
    </row>
    <row r="39" spans="1:23" ht="15">
      <c r="A39" s="1299" t="s">
        <v>583</v>
      </c>
      <c r="B39" s="1236" t="s">
        <v>696</v>
      </c>
      <c r="C39" s="491">
        <v>12472</v>
      </c>
      <c r="D39" s="491">
        <v>13728</v>
      </c>
      <c r="E39" s="1237" t="s">
        <v>585</v>
      </c>
      <c r="F39" s="1207">
        <v>16044</v>
      </c>
      <c r="G39" s="1207">
        <v>16453</v>
      </c>
      <c r="H39" s="1207">
        <v>15723</v>
      </c>
      <c r="I39" s="1229">
        <v>15041</v>
      </c>
      <c r="J39" s="1229">
        <v>15699</v>
      </c>
      <c r="K39" s="1229">
        <v>16448</v>
      </c>
      <c r="L39" s="1324">
        <f>L35</f>
        <v>16508</v>
      </c>
      <c r="M39" s="1325">
        <v>16400</v>
      </c>
      <c r="N39" s="1324">
        <v>4130</v>
      </c>
      <c r="O39" s="1497">
        <f t="shared" si="1"/>
        <v>4309</v>
      </c>
      <c r="P39" s="992">
        <f t="shared" si="2"/>
        <v>4118</v>
      </c>
      <c r="Q39" s="1376"/>
      <c r="R39" s="1152">
        <f t="shared" si="3"/>
        <v>12557</v>
      </c>
      <c r="S39" s="1141">
        <f t="shared" si="4"/>
        <v>76.5670731707317</v>
      </c>
      <c r="T39" s="1068"/>
      <c r="U39" s="1207">
        <v>8439</v>
      </c>
      <c r="V39" s="1207">
        <v>12557</v>
      </c>
      <c r="W39" s="1229"/>
    </row>
    <row r="40" spans="1:23" ht="15.75" thickBot="1">
      <c r="A40" s="1279" t="s">
        <v>586</v>
      </c>
      <c r="B40" s="1239" t="s">
        <v>692</v>
      </c>
      <c r="C40" s="1212">
        <v>12330</v>
      </c>
      <c r="D40" s="1212">
        <v>13218</v>
      </c>
      <c r="E40" s="1240" t="s">
        <v>587</v>
      </c>
      <c r="F40" s="1214">
        <v>198</v>
      </c>
      <c r="G40" s="1214">
        <v>138</v>
      </c>
      <c r="H40" s="1214">
        <v>452</v>
      </c>
      <c r="I40" s="1241">
        <v>257</v>
      </c>
      <c r="J40" s="1241">
        <v>366</v>
      </c>
      <c r="K40" s="1241">
        <v>239</v>
      </c>
      <c r="L40" s="1335"/>
      <c r="M40" s="1343"/>
      <c r="N40" s="1336">
        <v>54</v>
      </c>
      <c r="O40" s="1497">
        <f t="shared" si="1"/>
        <v>47</v>
      </c>
      <c r="P40" s="1001">
        <f t="shared" si="2"/>
        <v>16</v>
      </c>
      <c r="Q40" s="1373"/>
      <c r="R40" s="1167">
        <f t="shared" si="3"/>
        <v>117</v>
      </c>
      <c r="S40" s="1502" t="e">
        <f t="shared" si="4"/>
        <v>#DIV/0!</v>
      </c>
      <c r="T40" s="1068"/>
      <c r="U40" s="1292">
        <v>101</v>
      </c>
      <c r="V40" s="1292">
        <v>117</v>
      </c>
      <c r="W40" s="1241"/>
    </row>
    <row r="41" spans="1:23" ht="15.75" thickBot="1">
      <c r="A41" s="1338" t="s">
        <v>588</v>
      </c>
      <c r="B41" s="1242" t="s">
        <v>589</v>
      </c>
      <c r="C41" s="534">
        <f>SUM(C36:C40)</f>
        <v>25992</v>
      </c>
      <c r="D41" s="534">
        <f>SUM(D36:D40)</f>
        <v>28803</v>
      </c>
      <c r="E41" s="1243" t="s">
        <v>521</v>
      </c>
      <c r="F41" s="1157">
        <f aca="true" t="shared" si="6" ref="F41:Q41">SUM(F36:F40)</f>
        <v>17942</v>
      </c>
      <c r="G41" s="1157">
        <f t="shared" si="6"/>
        <v>18376</v>
      </c>
      <c r="H41" s="1157">
        <f t="shared" si="6"/>
        <v>17903</v>
      </c>
      <c r="I41" s="1157">
        <f t="shared" si="6"/>
        <v>16883</v>
      </c>
      <c r="J41" s="1157">
        <f>SUM(J36:J40)</f>
        <v>17598</v>
      </c>
      <c r="K41" s="1157">
        <f>SUM(K36:K40)</f>
        <v>18553</v>
      </c>
      <c r="L41" s="1339">
        <f t="shared" si="6"/>
        <v>16508</v>
      </c>
      <c r="M41" s="1109">
        <f t="shared" si="6"/>
        <v>16400</v>
      </c>
      <c r="N41" s="1157">
        <f t="shared" si="6"/>
        <v>4760</v>
      </c>
      <c r="O41" s="1157">
        <f t="shared" si="6"/>
        <v>4965</v>
      </c>
      <c r="P41" s="1157">
        <f t="shared" si="6"/>
        <v>4448</v>
      </c>
      <c r="Q41" s="1503">
        <f t="shared" si="6"/>
        <v>0</v>
      </c>
      <c r="R41" s="1157">
        <f t="shared" si="3"/>
        <v>14173</v>
      </c>
      <c r="S41" s="1158">
        <f t="shared" si="4"/>
        <v>86.42073170731707</v>
      </c>
      <c r="T41" s="1068"/>
      <c r="U41" s="1157">
        <f>SUM(U36:U40)</f>
        <v>9725</v>
      </c>
      <c r="V41" s="1157">
        <f>SUM(V36:V40)</f>
        <v>14173</v>
      </c>
      <c r="W41" s="1157">
        <f>SUM(W36:W40)</f>
        <v>0</v>
      </c>
    </row>
    <row r="42" spans="1:23" ht="6.75" customHeight="1" thickBot="1">
      <c r="A42" s="1279"/>
      <c r="B42" s="472"/>
      <c r="C42" s="430"/>
      <c r="D42" s="430"/>
      <c r="E42" s="1245"/>
      <c r="F42" s="1214"/>
      <c r="G42" s="1214"/>
      <c r="H42" s="1214"/>
      <c r="I42" s="1246"/>
      <c r="J42" s="1246"/>
      <c r="K42" s="1246"/>
      <c r="L42" s="1346"/>
      <c r="M42" s="1347"/>
      <c r="N42" s="1214"/>
      <c r="O42" s="1010"/>
      <c r="P42" s="1348"/>
      <c r="Q42" s="1039"/>
      <c r="R42" s="1137"/>
      <c r="S42" s="1138"/>
      <c r="T42" s="1068"/>
      <c r="U42" s="1214"/>
      <c r="V42" s="1214"/>
      <c r="W42" s="1246"/>
    </row>
    <row r="43" spans="1:23" ht="15.75" thickBot="1">
      <c r="A43" s="1349" t="s">
        <v>590</v>
      </c>
      <c r="B43" s="1247" t="s">
        <v>552</v>
      </c>
      <c r="C43" s="534">
        <f>+C41-C39</f>
        <v>13520</v>
      </c>
      <c r="D43" s="534">
        <f>+D41-D39</f>
        <v>15075</v>
      </c>
      <c r="E43" s="1243" t="s">
        <v>521</v>
      </c>
      <c r="F43" s="1158">
        <f aca="true" t="shared" si="7" ref="F43:Q43">F41-F39</f>
        <v>1898</v>
      </c>
      <c r="G43" s="1158">
        <f t="shared" si="7"/>
        <v>1923</v>
      </c>
      <c r="H43" s="1158">
        <f t="shared" si="7"/>
        <v>2180</v>
      </c>
      <c r="I43" s="1157">
        <f>I41-I39</f>
        <v>1842</v>
      </c>
      <c r="J43" s="1157">
        <f>J41-J39</f>
        <v>1899</v>
      </c>
      <c r="K43" s="1157">
        <f>K41-K39</f>
        <v>2105</v>
      </c>
      <c r="L43" s="1157">
        <f>L41-L39</f>
        <v>0</v>
      </c>
      <c r="M43" s="1158">
        <f t="shared" si="7"/>
        <v>0</v>
      </c>
      <c r="N43" s="1157">
        <f t="shared" si="7"/>
        <v>630</v>
      </c>
      <c r="O43" s="1157">
        <f t="shared" si="7"/>
        <v>656</v>
      </c>
      <c r="P43" s="1157">
        <f t="shared" si="7"/>
        <v>330</v>
      </c>
      <c r="Q43" s="1246">
        <f t="shared" si="7"/>
        <v>0</v>
      </c>
      <c r="R43" s="1137">
        <f t="shared" si="3"/>
        <v>1616</v>
      </c>
      <c r="S43" s="1138" t="e">
        <f t="shared" si="4"/>
        <v>#DIV/0!</v>
      </c>
      <c r="T43" s="1068"/>
      <c r="U43" s="1157">
        <f>U41-U39</f>
        <v>1286</v>
      </c>
      <c r="V43" s="1157">
        <f>V41-V39</f>
        <v>1616</v>
      </c>
      <c r="W43" s="1157">
        <f>W41-W39</f>
        <v>0</v>
      </c>
    </row>
    <row r="44" spans="1:23" ht="15.75" thickBot="1">
      <c r="A44" s="1338" t="s">
        <v>591</v>
      </c>
      <c r="B44" s="1247" t="s">
        <v>592</v>
      </c>
      <c r="C44" s="534">
        <f>+C41-C35</f>
        <v>93</v>
      </c>
      <c r="D44" s="534">
        <f>+D41-D35</f>
        <v>-465</v>
      </c>
      <c r="E44" s="1243" t="s">
        <v>521</v>
      </c>
      <c r="F44" s="1158">
        <f aca="true" t="shared" si="8" ref="F44:Q44">F41-F35</f>
        <v>43</v>
      </c>
      <c r="G44" s="1158">
        <f t="shared" si="8"/>
        <v>299</v>
      </c>
      <c r="H44" s="1158">
        <f t="shared" si="8"/>
        <v>27</v>
      </c>
      <c r="I44" s="1157">
        <f>I41-I35</f>
        <v>114</v>
      </c>
      <c r="J44" s="1157">
        <f>J41-J35</f>
        <v>66</v>
      </c>
      <c r="K44" s="1157">
        <f>K41-K35</f>
        <v>38</v>
      </c>
      <c r="L44" s="1157">
        <f>L41-L35</f>
        <v>0</v>
      </c>
      <c r="M44" s="1158">
        <f t="shared" si="8"/>
        <v>0</v>
      </c>
      <c r="N44" s="1157">
        <f t="shared" si="8"/>
        <v>4</v>
      </c>
      <c r="O44" s="1157">
        <f t="shared" si="8"/>
        <v>498</v>
      </c>
      <c r="P44" s="1157">
        <f t="shared" si="8"/>
        <v>298</v>
      </c>
      <c r="Q44" s="1246">
        <f t="shared" si="8"/>
        <v>0</v>
      </c>
      <c r="R44" s="1137">
        <f t="shared" si="3"/>
        <v>800</v>
      </c>
      <c r="S44" s="1138" t="e">
        <f t="shared" si="4"/>
        <v>#DIV/0!</v>
      </c>
      <c r="T44" s="1068"/>
      <c r="U44" s="1157">
        <f>U41-U35</f>
        <v>502</v>
      </c>
      <c r="V44" s="1157">
        <f>V41-V35</f>
        <v>800</v>
      </c>
      <c r="W44" s="1157">
        <f>W41-W35</f>
        <v>0</v>
      </c>
    </row>
    <row r="45" spans="1:23" ht="15.75" thickBot="1">
      <c r="A45" s="1350" t="s">
        <v>593</v>
      </c>
      <c r="B45" s="1248" t="s">
        <v>552</v>
      </c>
      <c r="C45" s="522">
        <f>+C44-C39</f>
        <v>-12379</v>
      </c>
      <c r="D45" s="522">
        <f>+D44-D39</f>
        <v>-14193</v>
      </c>
      <c r="E45" s="1249" t="s">
        <v>521</v>
      </c>
      <c r="F45" s="1158">
        <f aca="true" t="shared" si="9" ref="F45:Q45">F44-F39</f>
        <v>-16001</v>
      </c>
      <c r="G45" s="1158">
        <f t="shared" si="9"/>
        <v>-16154</v>
      </c>
      <c r="H45" s="1158">
        <f t="shared" si="9"/>
        <v>-15696</v>
      </c>
      <c r="I45" s="1157">
        <f t="shared" si="9"/>
        <v>-14927</v>
      </c>
      <c r="J45" s="1157">
        <f>J44-J39</f>
        <v>-15633</v>
      </c>
      <c r="K45" s="1157">
        <f>K44-K39</f>
        <v>-16410</v>
      </c>
      <c r="L45" s="1157">
        <f t="shared" si="9"/>
        <v>-16508</v>
      </c>
      <c r="M45" s="1158">
        <f t="shared" si="9"/>
        <v>-16400</v>
      </c>
      <c r="N45" s="1157">
        <f t="shared" si="9"/>
        <v>-4126</v>
      </c>
      <c r="O45" s="1157">
        <f t="shared" si="9"/>
        <v>-3811</v>
      </c>
      <c r="P45" s="1157">
        <f t="shared" si="9"/>
        <v>-3820</v>
      </c>
      <c r="Q45" s="1246">
        <f t="shared" si="9"/>
        <v>0</v>
      </c>
      <c r="R45" s="1137">
        <f t="shared" si="3"/>
        <v>-11757</v>
      </c>
      <c r="S45" s="1158">
        <f t="shared" si="4"/>
        <v>71.6890243902439</v>
      </c>
      <c r="T45" s="1068"/>
      <c r="U45" s="1157">
        <f>U44-U39</f>
        <v>-7937</v>
      </c>
      <c r="V45" s="1157">
        <f>V44-V39</f>
        <v>-11757</v>
      </c>
      <c r="W45" s="1157">
        <f>W44-W39</f>
        <v>0</v>
      </c>
    </row>
    <row r="46" ht="12.75">
      <c r="A46" s="1053"/>
    </row>
    <row r="47" spans="1:5" ht="12.75">
      <c r="A47" s="114"/>
      <c r="B47" s="1401"/>
      <c r="E47" s="1351" t="s">
        <v>734</v>
      </c>
    </row>
    <row r="48" ht="12.75">
      <c r="A48" s="1053"/>
    </row>
    <row r="49" spans="1:23" ht="14.25">
      <c r="A49" s="893" t="s">
        <v>697</v>
      </c>
      <c r="R49" s="108"/>
      <c r="S49" s="108"/>
      <c r="T49" s="108"/>
      <c r="U49" s="108"/>
      <c r="V49" s="108"/>
      <c r="W49" s="108"/>
    </row>
    <row r="50" spans="1:23" ht="14.25">
      <c r="A50" s="894" t="s">
        <v>698</v>
      </c>
      <c r="R50" s="108"/>
      <c r="S50" s="108"/>
      <c r="T50" s="108"/>
      <c r="U50" s="108"/>
      <c r="V50" s="108"/>
      <c r="W50" s="108"/>
    </row>
    <row r="51" spans="1:23" ht="14.25">
      <c r="A51" s="1352" t="s">
        <v>699</v>
      </c>
      <c r="R51" s="108"/>
      <c r="S51" s="108"/>
      <c r="T51" s="108"/>
      <c r="U51" s="108"/>
      <c r="V51" s="108"/>
      <c r="W51" s="108"/>
    </row>
    <row r="52" spans="1:23" ht="14.25">
      <c r="A52" s="1353"/>
      <c r="R52" s="108"/>
      <c r="S52" s="108"/>
      <c r="T52" s="108"/>
      <c r="U52" s="108"/>
      <c r="V52" s="108"/>
      <c r="W52" s="108"/>
    </row>
    <row r="53" spans="1:23" ht="12.75">
      <c r="A53" s="1053" t="s">
        <v>735</v>
      </c>
      <c r="R53" s="108"/>
      <c r="S53" s="108"/>
      <c r="T53" s="108"/>
      <c r="U53" s="108"/>
      <c r="V53" s="108"/>
      <c r="W53" s="108"/>
    </row>
    <row r="54" spans="1:23" ht="12.75">
      <c r="A54" s="1053"/>
      <c r="R54" s="108"/>
      <c r="S54" s="108"/>
      <c r="T54" s="108"/>
      <c r="U54" s="108"/>
      <c r="V54" s="108"/>
      <c r="W54" s="108"/>
    </row>
    <row r="55" spans="1:23" ht="12.75">
      <c r="A55" s="1053" t="s">
        <v>736</v>
      </c>
      <c r="R55" s="108"/>
      <c r="S55" s="108"/>
      <c r="T55" s="108"/>
      <c r="U55" s="108"/>
      <c r="V55" s="108"/>
      <c r="W55" s="108"/>
    </row>
    <row r="56" ht="12.75">
      <c r="A56" s="1053" t="s">
        <v>716</v>
      </c>
    </row>
    <row r="57" spans="1:14" ht="12.75">
      <c r="A57" s="1053"/>
      <c r="N57" s="496" t="s">
        <v>737</v>
      </c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10.8515625" style="108" hidden="1" customWidth="1"/>
    <col min="5" max="5" width="6.421875" style="576" customWidth="1"/>
    <col min="6" max="6" width="11.7109375" style="108" hidden="1" customWidth="1"/>
    <col min="7" max="9" width="11.57421875" style="108" hidden="1" customWidth="1"/>
    <col min="10" max="11" width="11.57421875" style="496" hidden="1" customWidth="1"/>
    <col min="12" max="12" width="11.57421875" style="496" customWidth="1"/>
    <col min="13" max="13" width="11.421875" style="496" customWidth="1"/>
    <col min="14" max="14" width="9.8515625" style="496" customWidth="1"/>
    <col min="15" max="15" width="9.140625" style="496" customWidth="1"/>
    <col min="16" max="16" width="9.28125" style="496" customWidth="1"/>
    <col min="17" max="17" width="9.140625" style="496" customWidth="1"/>
    <col min="18" max="18" width="12.00390625" style="496" customWidth="1"/>
    <col min="19" max="19" width="11.00390625" style="478" customWidth="1"/>
    <col min="20" max="20" width="3.421875" style="496" customWidth="1"/>
    <col min="21" max="21" width="12.57421875" style="496" customWidth="1"/>
    <col min="22" max="22" width="11.8515625" style="496" customWidth="1"/>
    <col min="23" max="23" width="12.00390625" style="496" customWidth="1"/>
    <col min="24" max="16384" width="9.140625" style="108" customWidth="1"/>
  </cols>
  <sheetData>
    <row r="1" spans="1:23" ht="18">
      <c r="A1" s="1354" t="s">
        <v>665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1355"/>
      <c r="R1" s="1355"/>
      <c r="S1" s="1355"/>
      <c r="T1" s="1355"/>
      <c r="U1" s="1355"/>
      <c r="V1" s="1355"/>
      <c r="W1" s="1355"/>
    </row>
    <row r="2" spans="1:14" ht="21.75" customHeight="1">
      <c r="A2" s="895" t="s">
        <v>595</v>
      </c>
      <c r="B2" s="896"/>
      <c r="M2" s="897"/>
      <c r="N2" s="897"/>
    </row>
    <row r="3" spans="1:14" ht="12.75">
      <c r="A3" s="902"/>
      <c r="M3" s="897"/>
      <c r="N3" s="897"/>
    </row>
    <row r="4" spans="1:14" ht="13.5" thickBot="1">
      <c r="A4" s="1053"/>
      <c r="B4" s="186"/>
      <c r="C4" s="186"/>
      <c r="D4" s="186"/>
      <c r="E4" s="577"/>
      <c r="F4" s="186"/>
      <c r="G4" s="186"/>
      <c r="M4" s="897"/>
      <c r="N4" s="897"/>
    </row>
    <row r="5" spans="1:14" ht="16.5" thickBot="1">
      <c r="A5" s="1251" t="s">
        <v>709</v>
      </c>
      <c r="B5" s="1252" t="s">
        <v>738</v>
      </c>
      <c r="C5" s="1253"/>
      <c r="D5" s="1253"/>
      <c r="E5" s="1254"/>
      <c r="F5" s="1253"/>
      <c r="G5" s="1255"/>
      <c r="H5" s="1253"/>
      <c r="I5" s="1253"/>
      <c r="J5" s="1256"/>
      <c r="K5" s="1191"/>
      <c r="L5" s="855"/>
      <c r="M5" s="901"/>
      <c r="N5" s="901"/>
    </row>
    <row r="6" spans="1:14" ht="23.25" customHeight="1" thickBot="1">
      <c r="A6" s="902" t="s">
        <v>494</v>
      </c>
      <c r="M6" s="897"/>
      <c r="N6" s="897"/>
    </row>
    <row r="7" spans="1:23" ht="13.5" thickBot="1">
      <c r="A7" s="1257" t="s">
        <v>27</v>
      </c>
      <c r="B7" s="1258" t="s">
        <v>498</v>
      </c>
      <c r="C7" s="1259"/>
      <c r="D7" s="1259"/>
      <c r="E7" s="1258" t="s">
        <v>501</v>
      </c>
      <c r="F7" s="1259"/>
      <c r="G7" s="1259"/>
      <c r="H7" s="1258" t="s">
        <v>733</v>
      </c>
      <c r="I7" s="1260" t="s">
        <v>667</v>
      </c>
      <c r="J7" s="1260" t="s">
        <v>668</v>
      </c>
      <c r="K7" s="1260" t="s">
        <v>669</v>
      </c>
      <c r="L7" s="1261" t="s">
        <v>670</v>
      </c>
      <c r="M7" s="1262"/>
      <c r="N7" s="1261" t="s">
        <v>495</v>
      </c>
      <c r="O7" s="1263"/>
      <c r="P7" s="1263"/>
      <c r="Q7" s="1264"/>
      <c r="R7" s="1265" t="s">
        <v>671</v>
      </c>
      <c r="S7" s="1266" t="s">
        <v>497</v>
      </c>
      <c r="U7" s="1267" t="s">
        <v>672</v>
      </c>
      <c r="V7" s="1268"/>
      <c r="W7" s="1262"/>
    </row>
    <row r="8" spans="1:23" ht="13.5" thickBot="1">
      <c r="A8" s="1269"/>
      <c r="B8" s="1270"/>
      <c r="C8" s="1271" t="s">
        <v>499</v>
      </c>
      <c r="D8" s="1271" t="s">
        <v>500</v>
      </c>
      <c r="E8" s="1270"/>
      <c r="F8" s="1271" t="s">
        <v>673</v>
      </c>
      <c r="G8" s="1271" t="s">
        <v>674</v>
      </c>
      <c r="H8" s="1270"/>
      <c r="I8" s="1270"/>
      <c r="J8" s="1270"/>
      <c r="K8" s="1270"/>
      <c r="L8" s="1272" t="s">
        <v>31</v>
      </c>
      <c r="M8" s="1272" t="s">
        <v>32</v>
      </c>
      <c r="N8" s="1273" t="s">
        <v>508</v>
      </c>
      <c r="O8" s="1274" t="s">
        <v>511</v>
      </c>
      <c r="P8" s="1275" t="s">
        <v>514</v>
      </c>
      <c r="Q8" s="1276" t="s">
        <v>517</v>
      </c>
      <c r="R8" s="1272" t="s">
        <v>518</v>
      </c>
      <c r="S8" s="1277" t="s">
        <v>519</v>
      </c>
      <c r="U8" s="1365" t="s">
        <v>676</v>
      </c>
      <c r="V8" s="1366" t="s">
        <v>677</v>
      </c>
      <c r="W8" s="1366" t="s">
        <v>678</v>
      </c>
    </row>
    <row r="9" spans="1:23" ht="12.75">
      <c r="A9" s="1279" t="s">
        <v>520</v>
      </c>
      <c r="B9" s="1194"/>
      <c r="C9" s="1195">
        <v>104</v>
      </c>
      <c r="D9" s="1195">
        <v>104</v>
      </c>
      <c r="E9" s="1196"/>
      <c r="F9" s="1197">
        <v>84</v>
      </c>
      <c r="G9" s="1197">
        <v>84</v>
      </c>
      <c r="H9" s="1197">
        <v>89</v>
      </c>
      <c r="I9" s="1198">
        <v>73</v>
      </c>
      <c r="J9" s="1198">
        <v>72</v>
      </c>
      <c r="K9" s="1198">
        <v>71</v>
      </c>
      <c r="L9" s="1280"/>
      <c r="M9" s="1280"/>
      <c r="N9" s="1281">
        <v>71</v>
      </c>
      <c r="O9" s="1296">
        <f>U9</f>
        <v>71</v>
      </c>
      <c r="P9" s="1368">
        <f>V9</f>
        <v>70</v>
      </c>
      <c r="Q9" s="1369"/>
      <c r="R9" s="1284" t="s">
        <v>521</v>
      </c>
      <c r="S9" s="1285" t="s">
        <v>521</v>
      </c>
      <c r="T9" s="1068"/>
      <c r="U9" s="1362">
        <v>71</v>
      </c>
      <c r="V9" s="1198">
        <v>70</v>
      </c>
      <c r="W9" s="1198"/>
    </row>
    <row r="10" spans="1:23" ht="13.5" thickBot="1">
      <c r="A10" s="1286" t="s">
        <v>522</v>
      </c>
      <c r="B10" s="480"/>
      <c r="C10" s="1200">
        <v>101</v>
      </c>
      <c r="D10" s="1200">
        <v>104</v>
      </c>
      <c r="E10" s="1201"/>
      <c r="F10" s="1202">
        <v>64</v>
      </c>
      <c r="G10" s="1202">
        <v>65</v>
      </c>
      <c r="H10" s="1202">
        <v>65</v>
      </c>
      <c r="I10" s="1203">
        <v>67.4</v>
      </c>
      <c r="J10" s="1203">
        <v>68</v>
      </c>
      <c r="K10" s="1203">
        <v>69</v>
      </c>
      <c r="L10" s="1287">
        <v>70.1</v>
      </c>
      <c r="M10" s="1287"/>
      <c r="N10" s="1288">
        <v>69</v>
      </c>
      <c r="O10" s="1306">
        <f aca="true" t="shared" si="0" ref="O10:P21">U10</f>
        <v>69</v>
      </c>
      <c r="P10" s="1495">
        <f t="shared" si="0"/>
        <v>68</v>
      </c>
      <c r="Q10" s="1380"/>
      <c r="R10" s="1287" t="s">
        <v>521</v>
      </c>
      <c r="S10" s="1291" t="s">
        <v>521</v>
      </c>
      <c r="T10" s="1068"/>
      <c r="U10" s="1318">
        <v>69</v>
      </c>
      <c r="V10" s="1203">
        <v>68</v>
      </c>
      <c r="W10" s="1203"/>
    </row>
    <row r="11" spans="1:23" ht="12.75">
      <c r="A11" s="1293" t="s">
        <v>523</v>
      </c>
      <c r="B11" s="1205" t="s">
        <v>524</v>
      </c>
      <c r="C11" s="501">
        <v>37915</v>
      </c>
      <c r="D11" s="501">
        <v>39774</v>
      </c>
      <c r="E11" s="1206" t="s">
        <v>525</v>
      </c>
      <c r="F11" s="1207">
        <v>18212</v>
      </c>
      <c r="G11" s="1207">
        <v>18633</v>
      </c>
      <c r="H11" s="1207">
        <v>19883</v>
      </c>
      <c r="I11" s="1458">
        <v>20972</v>
      </c>
      <c r="J11" s="1208">
        <v>20786</v>
      </c>
      <c r="K11" s="1208">
        <v>21122</v>
      </c>
      <c r="L11" s="1294" t="s">
        <v>521</v>
      </c>
      <c r="M11" s="1294" t="s">
        <v>521</v>
      </c>
      <c r="N11" s="1295">
        <v>21125</v>
      </c>
      <c r="O11" s="1296">
        <f t="shared" si="0"/>
        <v>21645</v>
      </c>
      <c r="P11" s="1376">
        <f t="shared" si="0"/>
        <v>23261</v>
      </c>
      <c r="Q11" s="983"/>
      <c r="R11" s="1209" t="s">
        <v>521</v>
      </c>
      <c r="S11" s="1298" t="s">
        <v>521</v>
      </c>
      <c r="T11" s="1068"/>
      <c r="U11" s="1362">
        <v>21645</v>
      </c>
      <c r="V11" s="1208">
        <v>23261</v>
      </c>
      <c r="W11" s="1208"/>
    </row>
    <row r="12" spans="1:23" ht="12.75">
      <c r="A12" s="1299" t="s">
        <v>526</v>
      </c>
      <c r="B12" s="1210" t="s">
        <v>527</v>
      </c>
      <c r="C12" s="491">
        <v>-16164</v>
      </c>
      <c r="D12" s="491">
        <v>-17825</v>
      </c>
      <c r="E12" s="1206" t="s">
        <v>528</v>
      </c>
      <c r="F12" s="1207">
        <v>-14504</v>
      </c>
      <c r="G12" s="1207">
        <v>-15065</v>
      </c>
      <c r="H12" s="1207">
        <v>-16622</v>
      </c>
      <c r="I12" s="1358">
        <v>17548</v>
      </c>
      <c r="J12" s="1208">
        <v>17222</v>
      </c>
      <c r="K12" s="1208">
        <v>17745</v>
      </c>
      <c r="L12" s="1300" t="s">
        <v>521</v>
      </c>
      <c r="M12" s="1300" t="s">
        <v>521</v>
      </c>
      <c r="N12" s="1301">
        <v>17820</v>
      </c>
      <c r="O12" s="1302">
        <f t="shared" si="0"/>
        <v>18412</v>
      </c>
      <c r="P12" s="1376">
        <f t="shared" si="0"/>
        <v>19686</v>
      </c>
      <c r="Q12" s="992"/>
      <c r="R12" s="1209" t="s">
        <v>521</v>
      </c>
      <c r="S12" s="1298" t="s">
        <v>521</v>
      </c>
      <c r="T12" s="1068"/>
      <c r="U12" s="1315">
        <v>18412</v>
      </c>
      <c r="V12" s="1208">
        <v>19686</v>
      </c>
      <c r="W12" s="1208"/>
    </row>
    <row r="13" spans="1:23" ht="12.75">
      <c r="A13" s="1299" t="s">
        <v>529</v>
      </c>
      <c r="B13" s="1210" t="s">
        <v>679</v>
      </c>
      <c r="C13" s="491">
        <v>604</v>
      </c>
      <c r="D13" s="491">
        <v>619</v>
      </c>
      <c r="E13" s="1206" t="s">
        <v>531</v>
      </c>
      <c r="F13" s="1207">
        <v>365</v>
      </c>
      <c r="G13" s="1207">
        <v>465</v>
      </c>
      <c r="H13" s="1207">
        <v>413</v>
      </c>
      <c r="I13" s="1358">
        <v>323</v>
      </c>
      <c r="J13" s="1208">
        <v>236</v>
      </c>
      <c r="K13" s="1208">
        <v>202</v>
      </c>
      <c r="L13" s="1300" t="s">
        <v>521</v>
      </c>
      <c r="M13" s="1300" t="s">
        <v>521</v>
      </c>
      <c r="N13" s="1301">
        <v>276</v>
      </c>
      <c r="O13" s="1302">
        <f t="shared" si="0"/>
        <v>203</v>
      </c>
      <c r="P13" s="1376">
        <f t="shared" si="0"/>
        <v>265</v>
      </c>
      <c r="Q13" s="992"/>
      <c r="R13" s="1209" t="s">
        <v>521</v>
      </c>
      <c r="S13" s="1298" t="s">
        <v>521</v>
      </c>
      <c r="T13" s="1068"/>
      <c r="U13" s="1315">
        <v>203</v>
      </c>
      <c r="V13" s="1208">
        <v>265</v>
      </c>
      <c r="W13" s="1208"/>
    </row>
    <row r="14" spans="1:23" ht="12.75">
      <c r="A14" s="1299" t="s">
        <v>532</v>
      </c>
      <c r="B14" s="1210" t="s">
        <v>680</v>
      </c>
      <c r="C14" s="491">
        <v>221</v>
      </c>
      <c r="D14" s="491">
        <v>610</v>
      </c>
      <c r="E14" s="1206" t="s">
        <v>521</v>
      </c>
      <c r="F14" s="1207">
        <v>677</v>
      </c>
      <c r="G14" s="1207">
        <v>2368</v>
      </c>
      <c r="H14" s="1207">
        <v>751</v>
      </c>
      <c r="I14" s="1358">
        <v>5507</v>
      </c>
      <c r="J14" s="1208">
        <v>2614</v>
      </c>
      <c r="K14" s="1208">
        <v>2184</v>
      </c>
      <c r="L14" s="1300" t="s">
        <v>521</v>
      </c>
      <c r="M14" s="1300" t="s">
        <v>521</v>
      </c>
      <c r="N14" s="1301">
        <v>7847</v>
      </c>
      <c r="O14" s="1302">
        <f t="shared" si="0"/>
        <v>5898</v>
      </c>
      <c r="P14" s="1376">
        <f t="shared" si="0"/>
        <v>3771</v>
      </c>
      <c r="Q14" s="992"/>
      <c r="R14" s="1209" t="s">
        <v>521</v>
      </c>
      <c r="S14" s="1298" t="s">
        <v>521</v>
      </c>
      <c r="T14" s="1068"/>
      <c r="U14" s="1393">
        <v>5898</v>
      </c>
      <c r="V14" s="1208">
        <v>3771</v>
      </c>
      <c r="W14" s="1208"/>
    </row>
    <row r="15" spans="1:23" ht="13.5" thickBot="1">
      <c r="A15" s="1279" t="s">
        <v>534</v>
      </c>
      <c r="B15" s="1211" t="s">
        <v>681</v>
      </c>
      <c r="C15" s="1212">
        <v>2021</v>
      </c>
      <c r="D15" s="1212">
        <v>852</v>
      </c>
      <c r="E15" s="1213" t="s">
        <v>536</v>
      </c>
      <c r="F15" s="1214">
        <v>3986</v>
      </c>
      <c r="G15" s="1214">
        <v>4614</v>
      </c>
      <c r="H15" s="1214">
        <v>5607</v>
      </c>
      <c r="I15" s="1359">
        <v>4827</v>
      </c>
      <c r="J15" s="1215">
        <v>7399</v>
      </c>
      <c r="K15" s="1215">
        <v>7321</v>
      </c>
      <c r="L15" s="1304" t="s">
        <v>521</v>
      </c>
      <c r="M15" s="1304" t="s">
        <v>521</v>
      </c>
      <c r="N15" s="1305">
        <v>11399</v>
      </c>
      <c r="O15" s="1469">
        <f t="shared" si="0"/>
        <v>13894</v>
      </c>
      <c r="P15" s="1376">
        <f t="shared" si="0"/>
        <v>9704</v>
      </c>
      <c r="Q15" s="1001"/>
      <c r="R15" s="1216" t="s">
        <v>521</v>
      </c>
      <c r="S15" s="1285" t="s">
        <v>521</v>
      </c>
      <c r="T15" s="1068"/>
      <c r="U15" s="1470">
        <v>13894</v>
      </c>
      <c r="V15" s="1215">
        <v>9704</v>
      </c>
      <c r="W15" s="1215"/>
    </row>
    <row r="16" spans="1:23" ht="15" thickBot="1">
      <c r="A16" s="1308" t="s">
        <v>537</v>
      </c>
      <c r="B16" s="1217"/>
      <c r="C16" s="507">
        <v>24618</v>
      </c>
      <c r="D16" s="507">
        <v>24087</v>
      </c>
      <c r="E16" s="1218"/>
      <c r="F16" s="1157">
        <v>8777</v>
      </c>
      <c r="G16" s="1157">
        <v>11030</v>
      </c>
      <c r="H16" s="1157">
        <v>10110</v>
      </c>
      <c r="I16" s="1081">
        <v>11494</v>
      </c>
      <c r="J16" s="1360">
        <f>J11-J12+J13+J14+J15</f>
        <v>13813</v>
      </c>
      <c r="K16" s="1360">
        <f>K11-K12+K13+K14+K15</f>
        <v>13084</v>
      </c>
      <c r="L16" s="1506" t="s">
        <v>521</v>
      </c>
      <c r="M16" s="1506" t="s">
        <v>521</v>
      </c>
      <c r="N16" s="1383">
        <f>N11-N12+N13+N14+N15</f>
        <v>22827</v>
      </c>
      <c r="O16" s="1507">
        <f t="shared" si="0"/>
        <v>23228</v>
      </c>
      <c r="P16" s="1507">
        <f t="shared" si="0"/>
        <v>17315</v>
      </c>
      <c r="Q16" s="1384"/>
      <c r="R16" s="1311" t="s">
        <v>521</v>
      </c>
      <c r="S16" s="1312" t="s">
        <v>521</v>
      </c>
      <c r="T16" s="1068"/>
      <c r="U16" s="1360">
        <f>U11-U12+U13+U14+U15</f>
        <v>23228</v>
      </c>
      <c r="V16" s="1360">
        <f>V11-V12+V13+V14+V15</f>
        <v>17315</v>
      </c>
      <c r="W16" s="1508">
        <f>W11-W12+W13+W14+W15</f>
        <v>0</v>
      </c>
    </row>
    <row r="17" spans="1:23" ht="12.75">
      <c r="A17" s="1279" t="s">
        <v>538</v>
      </c>
      <c r="B17" s="1205" t="s">
        <v>539</v>
      </c>
      <c r="C17" s="501">
        <v>7043</v>
      </c>
      <c r="D17" s="501">
        <v>7240</v>
      </c>
      <c r="E17" s="1213">
        <v>401</v>
      </c>
      <c r="F17" s="1214">
        <v>3708</v>
      </c>
      <c r="G17" s="1214">
        <v>3568</v>
      </c>
      <c r="H17" s="1361">
        <v>3261</v>
      </c>
      <c r="I17" s="1359">
        <v>3424</v>
      </c>
      <c r="J17" s="1215">
        <v>3564</v>
      </c>
      <c r="K17" s="1215">
        <v>3377</v>
      </c>
      <c r="L17" s="1385" t="s">
        <v>521</v>
      </c>
      <c r="M17" s="1385" t="s">
        <v>521</v>
      </c>
      <c r="N17" s="1305">
        <v>3305</v>
      </c>
      <c r="O17" s="1326">
        <f t="shared" si="0"/>
        <v>3233</v>
      </c>
      <c r="P17" s="1376">
        <f>V17</f>
        <v>3575</v>
      </c>
      <c r="Q17" s="983"/>
      <c r="R17" s="1216" t="s">
        <v>521</v>
      </c>
      <c r="S17" s="1285" t="s">
        <v>521</v>
      </c>
      <c r="T17" s="1068"/>
      <c r="U17" s="1314">
        <v>3233</v>
      </c>
      <c r="V17" s="1215">
        <v>3575</v>
      </c>
      <c r="W17" s="1215"/>
    </row>
    <row r="18" spans="1:23" ht="12.75">
      <c r="A18" s="1299" t="s">
        <v>540</v>
      </c>
      <c r="B18" s="1210" t="s">
        <v>541</v>
      </c>
      <c r="C18" s="491">
        <v>1001</v>
      </c>
      <c r="D18" s="491">
        <v>820</v>
      </c>
      <c r="E18" s="1206" t="s">
        <v>542</v>
      </c>
      <c r="F18" s="1207">
        <v>1446</v>
      </c>
      <c r="G18" s="1207">
        <v>1406</v>
      </c>
      <c r="H18" s="1315">
        <v>1723</v>
      </c>
      <c r="I18" s="1358">
        <v>1691</v>
      </c>
      <c r="J18" s="1208">
        <v>3304</v>
      </c>
      <c r="K18" s="1208">
        <v>2273</v>
      </c>
      <c r="L18" s="1358" t="s">
        <v>521</v>
      </c>
      <c r="M18" s="1358" t="s">
        <v>521</v>
      </c>
      <c r="N18" s="1301">
        <v>2344</v>
      </c>
      <c r="O18" s="1302">
        <f t="shared" si="0"/>
        <v>3717</v>
      </c>
      <c r="P18" s="1376">
        <f>V18</f>
        <v>2196</v>
      </c>
      <c r="Q18" s="992"/>
      <c r="R18" s="1209" t="s">
        <v>521</v>
      </c>
      <c r="S18" s="1298" t="s">
        <v>521</v>
      </c>
      <c r="T18" s="1068"/>
      <c r="U18" s="1315">
        <v>3717</v>
      </c>
      <c r="V18" s="1208">
        <v>2196</v>
      </c>
      <c r="W18" s="1208"/>
    </row>
    <row r="19" spans="1:23" ht="12.75">
      <c r="A19" s="1299" t="s">
        <v>543</v>
      </c>
      <c r="B19" s="1210" t="s">
        <v>682</v>
      </c>
      <c r="C19" s="491">
        <v>14718</v>
      </c>
      <c r="D19" s="491">
        <v>14718</v>
      </c>
      <c r="E19" s="1206" t="s">
        <v>521</v>
      </c>
      <c r="F19" s="1207">
        <v>0</v>
      </c>
      <c r="G19" s="1207">
        <v>0</v>
      </c>
      <c r="H19" s="1315">
        <v>0</v>
      </c>
      <c r="I19" s="1358">
        <v>0</v>
      </c>
      <c r="J19" s="1208">
        <v>0</v>
      </c>
      <c r="K19" s="1208">
        <v>0</v>
      </c>
      <c r="L19" s="1358" t="s">
        <v>521</v>
      </c>
      <c r="M19" s="1358" t="s">
        <v>521</v>
      </c>
      <c r="N19" s="1301">
        <v>0</v>
      </c>
      <c r="O19" s="1302">
        <f t="shared" si="0"/>
        <v>0</v>
      </c>
      <c r="P19" s="1376">
        <f>V19</f>
        <v>0</v>
      </c>
      <c r="Q19" s="992"/>
      <c r="R19" s="1209" t="s">
        <v>521</v>
      </c>
      <c r="S19" s="1298" t="s">
        <v>521</v>
      </c>
      <c r="T19" s="1068"/>
      <c r="U19" s="1315">
        <v>0</v>
      </c>
      <c r="V19" s="1208">
        <v>0</v>
      </c>
      <c r="W19" s="1208"/>
    </row>
    <row r="20" spans="1:23" ht="12.75">
      <c r="A20" s="1299" t="s">
        <v>545</v>
      </c>
      <c r="B20" s="1210" t="s">
        <v>544</v>
      </c>
      <c r="C20" s="491">
        <v>1758</v>
      </c>
      <c r="D20" s="491">
        <v>1762</v>
      </c>
      <c r="E20" s="1206" t="s">
        <v>521</v>
      </c>
      <c r="F20" s="1207">
        <v>2986</v>
      </c>
      <c r="G20" s="1207">
        <v>3621</v>
      </c>
      <c r="H20" s="1315">
        <v>4335</v>
      </c>
      <c r="I20" s="1358">
        <v>6129</v>
      </c>
      <c r="J20" s="1208">
        <v>6779</v>
      </c>
      <c r="K20" s="1208">
        <v>6858</v>
      </c>
      <c r="L20" s="1358" t="s">
        <v>521</v>
      </c>
      <c r="M20" s="1358" t="s">
        <v>521</v>
      </c>
      <c r="N20" s="1301">
        <v>16602</v>
      </c>
      <c r="O20" s="1302">
        <f t="shared" si="0"/>
        <v>16278</v>
      </c>
      <c r="P20" s="1376">
        <f>V20</f>
        <v>11544</v>
      </c>
      <c r="Q20" s="992"/>
      <c r="R20" s="1209" t="s">
        <v>521</v>
      </c>
      <c r="S20" s="1298" t="s">
        <v>521</v>
      </c>
      <c r="T20" s="1068"/>
      <c r="U20" s="1315">
        <v>16278</v>
      </c>
      <c r="V20" s="1208">
        <v>11544</v>
      </c>
      <c r="W20" s="1208"/>
    </row>
    <row r="21" spans="1:23" ht="13.5" thickBot="1">
      <c r="A21" s="1286" t="s">
        <v>547</v>
      </c>
      <c r="B21" s="1220"/>
      <c r="C21" s="1221">
        <v>0</v>
      </c>
      <c r="D21" s="1221">
        <v>0</v>
      </c>
      <c r="E21" s="1222" t="s">
        <v>521</v>
      </c>
      <c r="F21" s="1207">
        <v>0</v>
      </c>
      <c r="G21" s="1207">
        <v>0</v>
      </c>
      <c r="H21" s="1315">
        <v>0</v>
      </c>
      <c r="I21" s="1357">
        <v>0</v>
      </c>
      <c r="J21" s="1223">
        <v>0</v>
      </c>
      <c r="K21" s="1223">
        <v>0</v>
      </c>
      <c r="L21" s="1357" t="s">
        <v>521</v>
      </c>
      <c r="M21" s="1357" t="s">
        <v>521</v>
      </c>
      <c r="N21" s="1316">
        <v>0</v>
      </c>
      <c r="O21" s="1306">
        <f t="shared" si="0"/>
        <v>0</v>
      </c>
      <c r="P21" s="1380">
        <f>V21</f>
        <v>0</v>
      </c>
      <c r="Q21" s="1001"/>
      <c r="R21" s="1224" t="s">
        <v>521</v>
      </c>
      <c r="S21" s="1317" t="s">
        <v>521</v>
      </c>
      <c r="T21" s="1068"/>
      <c r="U21" s="1318">
        <v>0</v>
      </c>
      <c r="V21" s="1223">
        <v>0</v>
      </c>
      <c r="W21" s="1223"/>
    </row>
    <row r="22" spans="1:24" ht="14.25">
      <c r="A22" s="1319" t="s">
        <v>549</v>
      </c>
      <c r="B22" s="1205" t="s">
        <v>550</v>
      </c>
      <c r="C22" s="501">
        <v>12472</v>
      </c>
      <c r="D22" s="501">
        <v>13728</v>
      </c>
      <c r="E22" s="1225" t="s">
        <v>521</v>
      </c>
      <c r="F22" s="1226">
        <v>29448</v>
      </c>
      <c r="G22" s="1226">
        <v>31500.443</v>
      </c>
      <c r="H22" s="1362">
        <v>34304</v>
      </c>
      <c r="I22" s="1227">
        <v>34233</v>
      </c>
      <c r="J22" s="1504">
        <v>33458.5</v>
      </c>
      <c r="K22" s="1504">
        <v>35582</v>
      </c>
      <c r="L22" s="1320">
        <f>L35</f>
        <v>34700</v>
      </c>
      <c r="M22" s="1341">
        <f>M35</f>
        <v>34861.1</v>
      </c>
      <c r="N22" s="1509">
        <v>10950</v>
      </c>
      <c r="O22" s="1322">
        <f>U22-N22</f>
        <v>4883</v>
      </c>
      <c r="P22" s="983">
        <f>V22-U22</f>
        <v>10203</v>
      </c>
      <c r="Q22" s="1498"/>
      <c r="R22" s="1150">
        <f aca="true" t="shared" si="1" ref="R22:R41">SUM(N22:Q22)</f>
        <v>26036</v>
      </c>
      <c r="S22" s="1138">
        <f>(R22/L22)*100</f>
        <v>75.03170028818444</v>
      </c>
      <c r="T22" s="1068"/>
      <c r="U22" s="1362">
        <v>15833</v>
      </c>
      <c r="V22" s="1323">
        <v>26036</v>
      </c>
      <c r="W22" s="1504"/>
      <c r="X22" s="114"/>
    </row>
    <row r="23" spans="1:23" ht="14.25">
      <c r="A23" s="1299" t="s">
        <v>551</v>
      </c>
      <c r="B23" s="1210" t="s">
        <v>552</v>
      </c>
      <c r="C23" s="491">
        <v>0</v>
      </c>
      <c r="D23" s="491">
        <v>0</v>
      </c>
      <c r="E23" s="1228" t="s">
        <v>521</v>
      </c>
      <c r="F23" s="1207">
        <v>0</v>
      </c>
      <c r="G23" s="1207">
        <v>0</v>
      </c>
      <c r="H23" s="1315">
        <v>0</v>
      </c>
      <c r="I23" s="1229">
        <v>0</v>
      </c>
      <c r="J23" s="1229">
        <v>0</v>
      </c>
      <c r="K23" s="1229">
        <v>60</v>
      </c>
      <c r="L23" s="1324">
        <v>0</v>
      </c>
      <c r="M23" s="1325">
        <v>0</v>
      </c>
      <c r="N23" s="1510">
        <v>0</v>
      </c>
      <c r="O23" s="1342">
        <f aca="true" t="shared" si="2" ref="O23:O40">U23-N23</f>
        <v>0</v>
      </c>
      <c r="P23" s="992">
        <f aca="true" t="shared" si="3" ref="P23:P40">V23-U23</f>
        <v>0</v>
      </c>
      <c r="Q23" s="1376"/>
      <c r="R23" s="1152">
        <f t="shared" si="1"/>
        <v>0</v>
      </c>
      <c r="S23" s="1141" t="e">
        <f>(R23/L23)*100</f>
        <v>#DIV/0!</v>
      </c>
      <c r="T23" s="1068"/>
      <c r="U23" s="1315">
        <v>0</v>
      </c>
      <c r="V23" s="1328">
        <v>0</v>
      </c>
      <c r="W23" s="1229"/>
    </row>
    <row r="24" spans="1:23" ht="15" thickBot="1">
      <c r="A24" s="1286" t="s">
        <v>553</v>
      </c>
      <c r="B24" s="1220" t="s">
        <v>552</v>
      </c>
      <c r="C24" s="1221">
        <v>0</v>
      </c>
      <c r="D24" s="1221">
        <v>1215</v>
      </c>
      <c r="E24" s="1230">
        <v>672</v>
      </c>
      <c r="F24" s="1231">
        <v>6343</v>
      </c>
      <c r="G24" s="1231">
        <v>7266.443</v>
      </c>
      <c r="H24" s="1363">
        <v>8793</v>
      </c>
      <c r="I24" s="1232">
        <v>9520</v>
      </c>
      <c r="J24" s="1232">
        <v>8500</v>
      </c>
      <c r="K24" s="1232">
        <v>8700</v>
      </c>
      <c r="L24" s="1329">
        <f>L25+L26+L28+L29</f>
        <v>8700</v>
      </c>
      <c r="M24" s="1511">
        <f>M25+M26+M28+M29</f>
        <v>8700</v>
      </c>
      <c r="N24" s="1512">
        <v>2175</v>
      </c>
      <c r="O24" s="1392">
        <f t="shared" si="2"/>
        <v>2175</v>
      </c>
      <c r="P24" s="1496">
        <f t="shared" si="3"/>
        <v>2175</v>
      </c>
      <c r="Q24" s="1373"/>
      <c r="R24" s="1154">
        <f t="shared" si="1"/>
        <v>6525</v>
      </c>
      <c r="S24" s="1145">
        <f>(R24/L24)*100</f>
        <v>75</v>
      </c>
      <c r="T24" s="1068"/>
      <c r="U24" s="1470">
        <v>4350</v>
      </c>
      <c r="V24" s="1333">
        <v>6525</v>
      </c>
      <c r="W24" s="1232"/>
    </row>
    <row r="25" spans="1:23" ht="14.25">
      <c r="A25" s="1293" t="s">
        <v>554</v>
      </c>
      <c r="B25" s="1233" t="s">
        <v>683</v>
      </c>
      <c r="C25" s="501">
        <v>6341</v>
      </c>
      <c r="D25" s="501">
        <v>6960</v>
      </c>
      <c r="E25" s="1234">
        <v>501</v>
      </c>
      <c r="F25" s="1207">
        <v>4283</v>
      </c>
      <c r="G25" s="1207">
        <v>3784</v>
      </c>
      <c r="H25" s="1315">
        <v>5008</v>
      </c>
      <c r="I25" s="1235">
        <v>4722</v>
      </c>
      <c r="J25" s="1235">
        <v>4771</v>
      </c>
      <c r="K25" s="1235">
        <v>3927</v>
      </c>
      <c r="L25" s="1320">
        <v>2700</v>
      </c>
      <c r="M25" s="1341">
        <v>2700</v>
      </c>
      <c r="N25" s="1320">
        <v>1106</v>
      </c>
      <c r="O25" s="1513">
        <f t="shared" si="2"/>
        <v>1316</v>
      </c>
      <c r="P25" s="983">
        <f t="shared" si="3"/>
        <v>1250</v>
      </c>
      <c r="Q25" s="1498"/>
      <c r="R25" s="1150">
        <f t="shared" si="1"/>
        <v>3672</v>
      </c>
      <c r="S25" s="1138">
        <f aca="true" t="shared" si="4" ref="S25:S45">(R25/M25)*100</f>
        <v>136</v>
      </c>
      <c r="T25" s="1068"/>
      <c r="U25" s="1314">
        <v>2422</v>
      </c>
      <c r="V25" s="1334">
        <v>3672</v>
      </c>
      <c r="W25" s="1235"/>
    </row>
    <row r="26" spans="1:23" ht="14.25">
      <c r="A26" s="1299" t="s">
        <v>556</v>
      </c>
      <c r="B26" s="1236" t="s">
        <v>684</v>
      </c>
      <c r="C26" s="491">
        <v>1745</v>
      </c>
      <c r="D26" s="491">
        <v>2223</v>
      </c>
      <c r="E26" s="1237">
        <v>502</v>
      </c>
      <c r="F26" s="1207">
        <v>2338</v>
      </c>
      <c r="G26" s="1207">
        <v>2512</v>
      </c>
      <c r="H26" s="1315">
        <v>2824</v>
      </c>
      <c r="I26" s="1229">
        <v>2774</v>
      </c>
      <c r="J26" s="1229">
        <v>3399</v>
      </c>
      <c r="K26" s="1229">
        <v>3068</v>
      </c>
      <c r="L26" s="1324">
        <v>2900</v>
      </c>
      <c r="M26" s="1325">
        <v>2900</v>
      </c>
      <c r="N26" s="1324">
        <v>280</v>
      </c>
      <c r="O26" s="1513">
        <f t="shared" si="2"/>
        <v>301</v>
      </c>
      <c r="P26" s="992">
        <f t="shared" si="3"/>
        <v>76</v>
      </c>
      <c r="Q26" s="1376"/>
      <c r="R26" s="1152">
        <f t="shared" si="1"/>
        <v>657</v>
      </c>
      <c r="S26" s="1141">
        <f t="shared" si="4"/>
        <v>22.655172413793103</v>
      </c>
      <c r="T26" s="1068"/>
      <c r="U26" s="1315">
        <v>581</v>
      </c>
      <c r="V26" s="1328">
        <v>657</v>
      </c>
      <c r="W26" s="1229"/>
    </row>
    <row r="27" spans="1:23" ht="15">
      <c r="A27" s="1299" t="s">
        <v>558</v>
      </c>
      <c r="B27" s="1236" t="s">
        <v>685</v>
      </c>
      <c r="C27" s="491">
        <v>0</v>
      </c>
      <c r="D27" s="491">
        <v>0</v>
      </c>
      <c r="E27" s="1237">
        <v>504</v>
      </c>
      <c r="F27" s="1207">
        <v>723</v>
      </c>
      <c r="G27" s="1207">
        <v>701</v>
      </c>
      <c r="H27" s="1315">
        <v>656</v>
      </c>
      <c r="I27" s="1229">
        <v>708</v>
      </c>
      <c r="J27" s="1229">
        <v>627</v>
      </c>
      <c r="K27" s="1229">
        <v>556</v>
      </c>
      <c r="L27" s="1324"/>
      <c r="M27" s="1325"/>
      <c r="N27" s="1324">
        <v>104</v>
      </c>
      <c r="O27" s="1513">
        <f t="shared" si="2"/>
        <v>124</v>
      </c>
      <c r="P27" s="992">
        <f t="shared" si="3"/>
        <v>84</v>
      </c>
      <c r="Q27" s="1376"/>
      <c r="R27" s="1152">
        <f t="shared" si="1"/>
        <v>312</v>
      </c>
      <c r="S27" s="1141" t="e">
        <f t="shared" si="4"/>
        <v>#DIV/0!</v>
      </c>
      <c r="T27" s="1068"/>
      <c r="U27" s="1315">
        <v>228</v>
      </c>
      <c r="V27" s="1328">
        <v>312</v>
      </c>
      <c r="W27" s="1229"/>
    </row>
    <row r="28" spans="1:23" ht="15">
      <c r="A28" s="1299" t="s">
        <v>560</v>
      </c>
      <c r="B28" s="1236" t="s">
        <v>686</v>
      </c>
      <c r="C28" s="491">
        <v>428</v>
      </c>
      <c r="D28" s="491">
        <v>253</v>
      </c>
      <c r="E28" s="1237">
        <v>511</v>
      </c>
      <c r="F28" s="1207">
        <v>1225</v>
      </c>
      <c r="G28" s="1207">
        <v>1363</v>
      </c>
      <c r="H28" s="1315">
        <v>1724</v>
      </c>
      <c r="I28" s="1229">
        <v>2384</v>
      </c>
      <c r="J28" s="1229">
        <v>1531</v>
      </c>
      <c r="K28" s="1229">
        <v>1362</v>
      </c>
      <c r="L28" s="1324">
        <v>1500</v>
      </c>
      <c r="M28" s="1325">
        <v>1500</v>
      </c>
      <c r="N28" s="1324">
        <v>29</v>
      </c>
      <c r="O28" s="1513">
        <f t="shared" si="2"/>
        <v>163</v>
      </c>
      <c r="P28" s="992">
        <f t="shared" si="3"/>
        <v>844</v>
      </c>
      <c r="Q28" s="1376"/>
      <c r="R28" s="1152">
        <f t="shared" si="1"/>
        <v>1036</v>
      </c>
      <c r="S28" s="1141">
        <f t="shared" si="4"/>
        <v>69.06666666666666</v>
      </c>
      <c r="T28" s="1068"/>
      <c r="U28" s="1315">
        <v>192</v>
      </c>
      <c r="V28" s="1328">
        <v>1036</v>
      </c>
      <c r="W28" s="1229"/>
    </row>
    <row r="29" spans="1:23" ht="15">
      <c r="A29" s="1299" t="s">
        <v>562</v>
      </c>
      <c r="B29" s="1236" t="s">
        <v>687</v>
      </c>
      <c r="C29" s="491">
        <v>1057</v>
      </c>
      <c r="D29" s="491">
        <v>1451</v>
      </c>
      <c r="E29" s="1237">
        <v>518</v>
      </c>
      <c r="F29" s="1207">
        <v>1299</v>
      </c>
      <c r="G29" s="1207">
        <v>2398</v>
      </c>
      <c r="H29" s="1315">
        <v>2068</v>
      </c>
      <c r="I29" s="1229">
        <v>2099</v>
      </c>
      <c r="J29" s="1229">
        <v>1556</v>
      </c>
      <c r="K29" s="1229">
        <v>1327</v>
      </c>
      <c r="L29" s="1324">
        <v>1600</v>
      </c>
      <c r="M29" s="1325">
        <v>1600</v>
      </c>
      <c r="N29" s="1324">
        <v>545</v>
      </c>
      <c r="O29" s="1513">
        <f t="shared" si="2"/>
        <v>511</v>
      </c>
      <c r="P29" s="992">
        <f t="shared" si="3"/>
        <v>337</v>
      </c>
      <c r="Q29" s="1376"/>
      <c r="R29" s="1152">
        <f t="shared" si="1"/>
        <v>1393</v>
      </c>
      <c r="S29" s="1141">
        <f t="shared" si="4"/>
        <v>87.0625</v>
      </c>
      <c r="T29" s="1068"/>
      <c r="U29" s="1393">
        <v>1056</v>
      </c>
      <c r="V29" s="1328">
        <v>1393</v>
      </c>
      <c r="W29" s="1229"/>
    </row>
    <row r="30" spans="1:23" ht="15">
      <c r="A30" s="1299" t="s">
        <v>564</v>
      </c>
      <c r="B30" s="1238" t="s">
        <v>688</v>
      </c>
      <c r="C30" s="491">
        <v>10408</v>
      </c>
      <c r="D30" s="491">
        <v>11792</v>
      </c>
      <c r="E30" s="1237">
        <v>521</v>
      </c>
      <c r="F30" s="1207">
        <v>16440</v>
      </c>
      <c r="G30" s="1207">
        <v>17442</v>
      </c>
      <c r="H30" s="1315">
        <v>18411</v>
      </c>
      <c r="I30" s="1229">
        <v>18226</v>
      </c>
      <c r="J30" s="1229">
        <v>18656</v>
      </c>
      <c r="K30" s="1229">
        <v>19946</v>
      </c>
      <c r="L30" s="1324">
        <v>18720</v>
      </c>
      <c r="M30" s="1325">
        <v>18838.1</v>
      </c>
      <c r="N30" s="1324">
        <v>4899</v>
      </c>
      <c r="O30" s="1513">
        <f t="shared" si="2"/>
        <v>5008</v>
      </c>
      <c r="P30" s="992">
        <f t="shared" si="3"/>
        <v>5012</v>
      </c>
      <c r="Q30" s="1376"/>
      <c r="R30" s="1152">
        <f t="shared" si="1"/>
        <v>14919</v>
      </c>
      <c r="S30" s="1141">
        <f t="shared" si="4"/>
        <v>79.19588493531727</v>
      </c>
      <c r="T30" s="1068"/>
      <c r="U30" s="1315">
        <v>9907</v>
      </c>
      <c r="V30" s="1328">
        <v>14919</v>
      </c>
      <c r="W30" s="1229"/>
    </row>
    <row r="31" spans="1:23" ht="15">
      <c r="A31" s="1299" t="s">
        <v>566</v>
      </c>
      <c r="B31" s="1238" t="s">
        <v>689</v>
      </c>
      <c r="C31" s="491">
        <v>3640</v>
      </c>
      <c r="D31" s="491">
        <v>4174</v>
      </c>
      <c r="E31" s="1237" t="s">
        <v>568</v>
      </c>
      <c r="F31" s="1207">
        <v>6157</v>
      </c>
      <c r="G31" s="1207">
        <v>6485</v>
      </c>
      <c r="H31" s="1315">
        <v>6549</v>
      </c>
      <c r="I31" s="1229">
        <v>6762</v>
      </c>
      <c r="J31" s="1229">
        <v>6647</v>
      </c>
      <c r="K31" s="1229">
        <v>6781</v>
      </c>
      <c r="L31" s="1324">
        <v>6552</v>
      </c>
      <c r="M31" s="1325">
        <v>6593</v>
      </c>
      <c r="N31" s="1324">
        <v>1613</v>
      </c>
      <c r="O31" s="1513">
        <f t="shared" si="2"/>
        <v>1649</v>
      </c>
      <c r="P31" s="992">
        <f t="shared" si="3"/>
        <v>1681</v>
      </c>
      <c r="Q31" s="1376"/>
      <c r="R31" s="1152">
        <f t="shared" si="1"/>
        <v>4943</v>
      </c>
      <c r="S31" s="1141">
        <f t="shared" si="4"/>
        <v>74.97345669649629</v>
      </c>
      <c r="T31" s="1068"/>
      <c r="U31" s="1315">
        <v>3262</v>
      </c>
      <c r="V31" s="1328">
        <v>4943</v>
      </c>
      <c r="W31" s="1229"/>
    </row>
    <row r="32" spans="1:23" ht="15">
      <c r="A32" s="1299" t="s">
        <v>569</v>
      </c>
      <c r="B32" s="1236" t="s">
        <v>690</v>
      </c>
      <c r="C32" s="491">
        <v>0</v>
      </c>
      <c r="D32" s="491">
        <v>0</v>
      </c>
      <c r="E32" s="1237">
        <v>557</v>
      </c>
      <c r="F32" s="1207">
        <v>0</v>
      </c>
      <c r="G32" s="1207">
        <v>0</v>
      </c>
      <c r="H32" s="1315">
        <v>26</v>
      </c>
      <c r="I32" s="1229">
        <v>0</v>
      </c>
      <c r="J32" s="1229">
        <v>3</v>
      </c>
      <c r="K32" s="1229">
        <v>0</v>
      </c>
      <c r="L32" s="1324"/>
      <c r="M32" s="1325"/>
      <c r="N32" s="1324">
        <v>0</v>
      </c>
      <c r="O32" s="1513">
        <f t="shared" si="2"/>
        <v>0</v>
      </c>
      <c r="P32" s="992">
        <f t="shared" si="3"/>
        <v>0</v>
      </c>
      <c r="Q32" s="1376"/>
      <c r="R32" s="1152">
        <f t="shared" si="1"/>
        <v>0</v>
      </c>
      <c r="S32" s="1141" t="e">
        <f t="shared" si="4"/>
        <v>#DIV/0!</v>
      </c>
      <c r="T32" s="1068"/>
      <c r="U32" s="1315">
        <v>0</v>
      </c>
      <c r="V32" s="1328">
        <v>0</v>
      </c>
      <c r="W32" s="1229"/>
    </row>
    <row r="33" spans="1:23" ht="15">
      <c r="A33" s="1299" t="s">
        <v>571</v>
      </c>
      <c r="B33" s="1236" t="s">
        <v>691</v>
      </c>
      <c r="C33" s="491">
        <v>1711</v>
      </c>
      <c r="D33" s="491">
        <v>1801</v>
      </c>
      <c r="E33" s="1237">
        <v>551</v>
      </c>
      <c r="F33" s="1207">
        <v>284</v>
      </c>
      <c r="G33" s="1207">
        <v>325</v>
      </c>
      <c r="H33" s="1315">
        <v>307</v>
      </c>
      <c r="I33" s="1229">
        <v>274</v>
      </c>
      <c r="J33" s="1229">
        <v>281</v>
      </c>
      <c r="K33" s="1229">
        <v>247</v>
      </c>
      <c r="L33" s="1324"/>
      <c r="M33" s="1325"/>
      <c r="N33" s="1324">
        <v>72</v>
      </c>
      <c r="O33" s="1513">
        <f t="shared" si="2"/>
        <v>73</v>
      </c>
      <c r="P33" s="992">
        <f t="shared" si="3"/>
        <v>50</v>
      </c>
      <c r="Q33" s="1376"/>
      <c r="R33" s="1152">
        <f t="shared" si="1"/>
        <v>195</v>
      </c>
      <c r="S33" s="1141" t="e">
        <f t="shared" si="4"/>
        <v>#DIV/0!</v>
      </c>
      <c r="T33" s="1068"/>
      <c r="U33" s="1315">
        <v>145</v>
      </c>
      <c r="V33" s="1328">
        <v>195</v>
      </c>
      <c r="W33" s="1229"/>
    </row>
    <row r="34" spans="1:23" ht="15.75" thickBot="1">
      <c r="A34" s="1279" t="s">
        <v>573</v>
      </c>
      <c r="B34" s="1239" t="s">
        <v>692</v>
      </c>
      <c r="C34" s="1212">
        <v>569</v>
      </c>
      <c r="D34" s="1212">
        <v>614</v>
      </c>
      <c r="E34" s="1240" t="s">
        <v>574</v>
      </c>
      <c r="F34" s="1214">
        <v>830</v>
      </c>
      <c r="G34" s="1214">
        <v>1054</v>
      </c>
      <c r="H34" s="1361">
        <v>598</v>
      </c>
      <c r="I34" s="1241">
        <v>849</v>
      </c>
      <c r="J34" s="1241">
        <v>452</v>
      </c>
      <c r="K34" s="1241">
        <v>3103</v>
      </c>
      <c r="L34" s="1335">
        <v>728</v>
      </c>
      <c r="M34" s="1343">
        <v>730</v>
      </c>
      <c r="N34" s="1336">
        <v>62</v>
      </c>
      <c r="O34" s="1513">
        <f t="shared" si="2"/>
        <v>785</v>
      </c>
      <c r="P34" s="1001">
        <f t="shared" si="3"/>
        <v>1520</v>
      </c>
      <c r="Q34" s="1373"/>
      <c r="R34" s="1154">
        <f t="shared" si="1"/>
        <v>2367</v>
      </c>
      <c r="S34" s="1145">
        <f t="shared" si="4"/>
        <v>324.24657534246575</v>
      </c>
      <c r="T34" s="1068"/>
      <c r="U34" s="1394">
        <v>847</v>
      </c>
      <c r="V34" s="1337">
        <v>2367</v>
      </c>
      <c r="W34" s="1241"/>
    </row>
    <row r="35" spans="1:23" ht="15.75" thickBot="1">
      <c r="A35" s="1338" t="s">
        <v>575</v>
      </c>
      <c r="B35" s="1242" t="s">
        <v>576</v>
      </c>
      <c r="C35" s="534">
        <f>SUM(C25:C34)</f>
        <v>25899</v>
      </c>
      <c r="D35" s="534">
        <f>SUM(D25:D34)</f>
        <v>29268</v>
      </c>
      <c r="E35" s="1243"/>
      <c r="F35" s="1157">
        <f aca="true" t="shared" si="5" ref="F35:P35">SUM(F25:F34)</f>
        <v>33579</v>
      </c>
      <c r="G35" s="1157">
        <f t="shared" si="5"/>
        <v>36064</v>
      </c>
      <c r="H35" s="1157">
        <f t="shared" si="5"/>
        <v>38171</v>
      </c>
      <c r="I35" s="1157">
        <f t="shared" si="5"/>
        <v>38798</v>
      </c>
      <c r="J35" s="1157">
        <f>SUM(J25:J34)</f>
        <v>37923</v>
      </c>
      <c r="K35" s="1157">
        <f>SUM(K25:K34)</f>
        <v>40317</v>
      </c>
      <c r="L35" s="1339">
        <f t="shared" si="5"/>
        <v>34700</v>
      </c>
      <c r="M35" s="1109">
        <f t="shared" si="5"/>
        <v>34861.1</v>
      </c>
      <c r="N35" s="1109">
        <f t="shared" si="5"/>
        <v>8710</v>
      </c>
      <c r="O35" s="1395">
        <f t="shared" si="5"/>
        <v>9930</v>
      </c>
      <c r="P35" s="1109">
        <f t="shared" si="5"/>
        <v>10854</v>
      </c>
      <c r="Q35" s="1500"/>
      <c r="R35" s="1157">
        <f t="shared" si="1"/>
        <v>29494</v>
      </c>
      <c r="S35" s="1158">
        <f t="shared" si="4"/>
        <v>84.60432975436805</v>
      </c>
      <c r="T35" s="1068"/>
      <c r="U35" s="1157">
        <f>SUM(U25:U34)</f>
        <v>18640</v>
      </c>
      <c r="V35" s="1157">
        <f>SUM(V25:V34)</f>
        <v>29494</v>
      </c>
      <c r="W35" s="1157">
        <f>SUM(W25:W34)</f>
        <v>0</v>
      </c>
    </row>
    <row r="36" spans="1:23" ht="15">
      <c r="A36" s="1293" t="s">
        <v>577</v>
      </c>
      <c r="B36" s="1233" t="s">
        <v>693</v>
      </c>
      <c r="C36" s="501">
        <v>0</v>
      </c>
      <c r="D36" s="501">
        <v>0</v>
      </c>
      <c r="E36" s="1234">
        <v>601</v>
      </c>
      <c r="F36" s="1244">
        <v>2142</v>
      </c>
      <c r="G36" s="1244">
        <v>2321</v>
      </c>
      <c r="H36" s="1314">
        <v>2334</v>
      </c>
      <c r="I36" s="1235">
        <v>2667</v>
      </c>
      <c r="J36" s="1235">
        <v>3032</v>
      </c>
      <c r="K36" s="1235">
        <v>3286</v>
      </c>
      <c r="L36" s="1320"/>
      <c r="M36" s="1341"/>
      <c r="N36" s="1321">
        <v>972</v>
      </c>
      <c r="O36" s="1513">
        <f t="shared" si="2"/>
        <v>1066</v>
      </c>
      <c r="P36" s="983">
        <f t="shared" si="3"/>
        <v>442</v>
      </c>
      <c r="Q36" s="1498"/>
      <c r="R36" s="1150">
        <f t="shared" si="1"/>
        <v>2480</v>
      </c>
      <c r="S36" s="1138" t="e">
        <f t="shared" si="4"/>
        <v>#DIV/0!</v>
      </c>
      <c r="T36" s="1068"/>
      <c r="U36" s="1314">
        <v>2038</v>
      </c>
      <c r="V36" s="1334">
        <v>2480</v>
      </c>
      <c r="W36" s="1235"/>
    </row>
    <row r="37" spans="1:23" ht="15">
      <c r="A37" s="1299" t="s">
        <v>579</v>
      </c>
      <c r="B37" s="1236" t="s">
        <v>694</v>
      </c>
      <c r="C37" s="491">
        <v>1190</v>
      </c>
      <c r="D37" s="491">
        <v>1857</v>
      </c>
      <c r="E37" s="1237">
        <v>602</v>
      </c>
      <c r="F37" s="1207">
        <v>380</v>
      </c>
      <c r="G37" s="1207">
        <v>367</v>
      </c>
      <c r="H37" s="1315">
        <v>359</v>
      </c>
      <c r="I37" s="1229">
        <v>111</v>
      </c>
      <c r="J37" s="1229">
        <v>97</v>
      </c>
      <c r="K37" s="1229">
        <v>141</v>
      </c>
      <c r="L37" s="1324"/>
      <c r="M37" s="1325"/>
      <c r="N37" s="1324">
        <v>44</v>
      </c>
      <c r="O37" s="1513">
        <f t="shared" si="2"/>
        <v>45</v>
      </c>
      <c r="P37" s="992">
        <f t="shared" si="3"/>
        <v>21</v>
      </c>
      <c r="Q37" s="1376"/>
      <c r="R37" s="1152">
        <f t="shared" si="1"/>
        <v>110</v>
      </c>
      <c r="S37" s="1141" t="e">
        <f t="shared" si="4"/>
        <v>#DIV/0!</v>
      </c>
      <c r="T37" s="1068"/>
      <c r="U37" s="1393">
        <v>89</v>
      </c>
      <c r="V37" s="1328">
        <v>110</v>
      </c>
      <c r="W37" s="1229"/>
    </row>
    <row r="38" spans="1:23" ht="15">
      <c r="A38" s="1299" t="s">
        <v>581</v>
      </c>
      <c r="B38" s="1236" t="s">
        <v>695</v>
      </c>
      <c r="C38" s="491">
        <v>0</v>
      </c>
      <c r="D38" s="491">
        <v>0</v>
      </c>
      <c r="E38" s="1237">
        <v>604</v>
      </c>
      <c r="F38" s="1207">
        <v>813</v>
      </c>
      <c r="G38" s="1207">
        <v>799</v>
      </c>
      <c r="H38" s="1315">
        <v>658</v>
      </c>
      <c r="I38" s="1229">
        <v>712</v>
      </c>
      <c r="J38" s="1229">
        <v>636</v>
      </c>
      <c r="K38" s="1229">
        <v>561</v>
      </c>
      <c r="L38" s="1324"/>
      <c r="M38" s="1325"/>
      <c r="N38" s="1324">
        <v>95</v>
      </c>
      <c r="O38" s="1513">
        <f t="shared" si="2"/>
        <v>191</v>
      </c>
      <c r="P38" s="992">
        <f t="shared" si="3"/>
        <v>30</v>
      </c>
      <c r="Q38" s="1376"/>
      <c r="R38" s="1152">
        <f t="shared" si="1"/>
        <v>316</v>
      </c>
      <c r="S38" s="1141" t="e">
        <f t="shared" si="4"/>
        <v>#DIV/0!</v>
      </c>
      <c r="T38" s="1068"/>
      <c r="U38" s="1315">
        <v>286</v>
      </c>
      <c r="V38" s="1328">
        <v>316</v>
      </c>
      <c r="W38" s="1229"/>
    </row>
    <row r="39" spans="1:23" ht="15">
      <c r="A39" s="1299" t="s">
        <v>583</v>
      </c>
      <c r="B39" s="1236" t="s">
        <v>696</v>
      </c>
      <c r="C39" s="491">
        <v>12472</v>
      </c>
      <c r="D39" s="491">
        <v>13728</v>
      </c>
      <c r="E39" s="1237" t="s">
        <v>585</v>
      </c>
      <c r="F39" s="1207">
        <v>29448</v>
      </c>
      <c r="G39" s="1207">
        <v>31500</v>
      </c>
      <c r="H39" s="1315">
        <v>34304</v>
      </c>
      <c r="I39" s="1229">
        <v>34233</v>
      </c>
      <c r="J39" s="1505">
        <v>33458.5</v>
      </c>
      <c r="K39" s="1505">
        <v>35582</v>
      </c>
      <c r="L39" s="1324">
        <f>L35</f>
        <v>34700</v>
      </c>
      <c r="M39" s="1325">
        <v>34861.1</v>
      </c>
      <c r="N39" s="1324">
        <v>7459</v>
      </c>
      <c r="O39" s="1513">
        <f t="shared" si="2"/>
        <v>8374</v>
      </c>
      <c r="P39" s="992">
        <f t="shared" si="3"/>
        <v>10203</v>
      </c>
      <c r="Q39" s="1376"/>
      <c r="R39" s="1152">
        <f t="shared" si="1"/>
        <v>26036</v>
      </c>
      <c r="S39" s="1141">
        <f t="shared" si="4"/>
        <v>74.68496404301644</v>
      </c>
      <c r="T39" s="1068"/>
      <c r="U39" s="1315">
        <v>15833</v>
      </c>
      <c r="V39" s="1328">
        <v>26036</v>
      </c>
      <c r="W39" s="1505"/>
    </row>
    <row r="40" spans="1:23" ht="15.75" thickBot="1">
      <c r="A40" s="1279" t="s">
        <v>586</v>
      </c>
      <c r="B40" s="1239" t="s">
        <v>692</v>
      </c>
      <c r="C40" s="1212">
        <v>12330</v>
      </c>
      <c r="D40" s="1212">
        <v>13218</v>
      </c>
      <c r="E40" s="1240" t="s">
        <v>587</v>
      </c>
      <c r="F40" s="1214">
        <v>925.58</v>
      </c>
      <c r="G40" s="1214">
        <v>1078</v>
      </c>
      <c r="H40" s="1361">
        <v>689</v>
      </c>
      <c r="I40" s="1241">
        <v>1325</v>
      </c>
      <c r="J40" s="1241">
        <v>864</v>
      </c>
      <c r="K40" s="1241">
        <v>1323</v>
      </c>
      <c r="L40" s="1335"/>
      <c r="M40" s="1343"/>
      <c r="N40" s="1336">
        <v>140</v>
      </c>
      <c r="O40" s="1513">
        <f t="shared" si="2"/>
        <v>254</v>
      </c>
      <c r="P40" s="1001">
        <f t="shared" si="3"/>
        <v>158</v>
      </c>
      <c r="Q40" s="1373"/>
      <c r="R40" s="1154">
        <f t="shared" si="1"/>
        <v>552</v>
      </c>
      <c r="S40" s="1502" t="e">
        <f t="shared" si="4"/>
        <v>#DIV/0!</v>
      </c>
      <c r="T40" s="1068"/>
      <c r="U40" s="1394">
        <v>394</v>
      </c>
      <c r="V40" s="1337">
        <v>552</v>
      </c>
      <c r="W40" s="1241"/>
    </row>
    <row r="41" spans="1:23" ht="15.75" thickBot="1">
      <c r="A41" s="1338" t="s">
        <v>588</v>
      </c>
      <c r="B41" s="1242" t="s">
        <v>589</v>
      </c>
      <c r="C41" s="534">
        <f>SUM(C36:C40)</f>
        <v>25992</v>
      </c>
      <c r="D41" s="534">
        <f>SUM(D36:D40)</f>
        <v>28803</v>
      </c>
      <c r="E41" s="1243" t="s">
        <v>521</v>
      </c>
      <c r="F41" s="1157">
        <f>SUM(F36:F40)</f>
        <v>33708.58</v>
      </c>
      <c r="G41" s="1157">
        <f>SUM(G36:G40)</f>
        <v>36065</v>
      </c>
      <c r="H41" s="1157">
        <v>38344</v>
      </c>
      <c r="I41" s="1157">
        <f aca="true" t="shared" si="6" ref="I41:Q41">SUM(I36:I40)</f>
        <v>39048</v>
      </c>
      <c r="J41" s="1157">
        <f>SUM(J36:J40)</f>
        <v>38087.5</v>
      </c>
      <c r="K41" s="1157">
        <f>SUM(K36:K40)</f>
        <v>40893</v>
      </c>
      <c r="L41" s="1339">
        <f t="shared" si="6"/>
        <v>34700</v>
      </c>
      <c r="M41" s="1109">
        <f t="shared" si="6"/>
        <v>34861.1</v>
      </c>
      <c r="N41" s="1157">
        <f t="shared" si="6"/>
        <v>8710</v>
      </c>
      <c r="O41" s="1157">
        <f t="shared" si="6"/>
        <v>9930</v>
      </c>
      <c r="P41" s="1157">
        <f t="shared" si="6"/>
        <v>10854</v>
      </c>
      <c r="Q41" s="1503">
        <f t="shared" si="6"/>
        <v>0</v>
      </c>
      <c r="R41" s="1157">
        <f t="shared" si="1"/>
        <v>29494</v>
      </c>
      <c r="S41" s="1158">
        <f t="shared" si="4"/>
        <v>84.60432975436805</v>
      </c>
      <c r="T41" s="1068"/>
      <c r="U41" s="1157">
        <f>SUM(U36:U40)</f>
        <v>18640</v>
      </c>
      <c r="V41" s="1157">
        <f>SUM(V36:V40)</f>
        <v>29494</v>
      </c>
      <c r="W41" s="1157">
        <f>SUM(W36:W40)</f>
        <v>0</v>
      </c>
    </row>
    <row r="42" spans="1:23" ht="6.75" customHeight="1" thickBot="1">
      <c r="A42" s="1279"/>
      <c r="B42" s="472"/>
      <c r="C42" s="430"/>
      <c r="D42" s="430"/>
      <c r="E42" s="1245"/>
      <c r="F42" s="1214"/>
      <c r="G42" s="1214"/>
      <c r="H42" s="1214"/>
      <c r="I42" s="1246"/>
      <c r="J42" s="1246"/>
      <c r="K42" s="1246"/>
      <c r="L42" s="1346"/>
      <c r="M42" s="1346"/>
      <c r="N42" s="1214"/>
      <c r="O42" s="1514"/>
      <c r="P42" s="1348"/>
      <c r="Q42" s="1039"/>
      <c r="R42" s="1345"/>
      <c r="S42" s="1182"/>
      <c r="T42" s="1068"/>
      <c r="U42" s="1361"/>
      <c r="V42" s="1246"/>
      <c r="W42" s="1246"/>
    </row>
    <row r="43" spans="1:23" ht="15.75" thickBot="1">
      <c r="A43" s="1349" t="s">
        <v>590</v>
      </c>
      <c r="B43" s="1247" t="s">
        <v>552</v>
      </c>
      <c r="C43" s="534">
        <f>+C41-C39</f>
        <v>13520</v>
      </c>
      <c r="D43" s="534">
        <f>+D41-D39</f>
        <v>15075</v>
      </c>
      <c r="E43" s="1243" t="s">
        <v>521</v>
      </c>
      <c r="F43" s="1158">
        <f aca="true" t="shared" si="7" ref="F43:Q43">F41-F39</f>
        <v>4260.580000000002</v>
      </c>
      <c r="G43" s="1158">
        <f t="shared" si="7"/>
        <v>4565</v>
      </c>
      <c r="H43" s="1158">
        <f t="shared" si="7"/>
        <v>4040</v>
      </c>
      <c r="I43" s="1157">
        <f>I41-I39</f>
        <v>4815</v>
      </c>
      <c r="J43" s="1157">
        <f>J41-J39</f>
        <v>4629</v>
      </c>
      <c r="K43" s="1157">
        <f>K41-K39</f>
        <v>5311</v>
      </c>
      <c r="L43" s="1157">
        <f>L41-L39</f>
        <v>0</v>
      </c>
      <c r="M43" s="1158">
        <f t="shared" si="7"/>
        <v>0</v>
      </c>
      <c r="N43" s="1157">
        <f t="shared" si="7"/>
        <v>1251</v>
      </c>
      <c r="O43" s="1157">
        <f t="shared" si="7"/>
        <v>1556</v>
      </c>
      <c r="P43" s="1157">
        <f t="shared" si="7"/>
        <v>651</v>
      </c>
      <c r="Q43" s="1246">
        <f t="shared" si="7"/>
        <v>0</v>
      </c>
      <c r="R43" s="1137">
        <f>SUM(N43:Q43)</f>
        <v>3458</v>
      </c>
      <c r="S43" s="1138" t="e">
        <f t="shared" si="4"/>
        <v>#DIV/0!</v>
      </c>
      <c r="T43" s="1068"/>
      <c r="U43" s="1157">
        <f>U41-U39</f>
        <v>2807</v>
      </c>
      <c r="V43" s="1157">
        <f>V41-V39</f>
        <v>3458</v>
      </c>
      <c r="W43" s="1157">
        <f>W41-W39</f>
        <v>0</v>
      </c>
    </row>
    <row r="44" spans="1:23" ht="15.75" thickBot="1">
      <c r="A44" s="1338" t="s">
        <v>591</v>
      </c>
      <c r="B44" s="1247" t="s">
        <v>592</v>
      </c>
      <c r="C44" s="534">
        <f>+C41-C35</f>
        <v>93</v>
      </c>
      <c r="D44" s="534">
        <f>+D41-D35</f>
        <v>-465</v>
      </c>
      <c r="E44" s="1243" t="s">
        <v>521</v>
      </c>
      <c r="F44" s="1158">
        <f aca="true" t="shared" si="8" ref="F44:Q44">F41-F35</f>
        <v>129.58000000000175</v>
      </c>
      <c r="G44" s="1158">
        <f t="shared" si="8"/>
        <v>1</v>
      </c>
      <c r="H44" s="1158">
        <f t="shared" si="8"/>
        <v>173</v>
      </c>
      <c r="I44" s="1157">
        <f>I41-I35</f>
        <v>250</v>
      </c>
      <c r="J44" s="1157">
        <f>J41-J35</f>
        <v>164.5</v>
      </c>
      <c r="K44" s="1157">
        <f>K41-K35</f>
        <v>576</v>
      </c>
      <c r="L44" s="1157">
        <f>L41-L35</f>
        <v>0</v>
      </c>
      <c r="M44" s="1158">
        <f t="shared" si="8"/>
        <v>0</v>
      </c>
      <c r="N44" s="1157">
        <f t="shared" si="8"/>
        <v>0</v>
      </c>
      <c r="O44" s="1157">
        <f t="shared" si="8"/>
        <v>0</v>
      </c>
      <c r="P44" s="1157">
        <f t="shared" si="8"/>
        <v>0</v>
      </c>
      <c r="Q44" s="1246">
        <f t="shared" si="8"/>
        <v>0</v>
      </c>
      <c r="R44" s="1137">
        <f>SUM(N44:Q44)</f>
        <v>0</v>
      </c>
      <c r="S44" s="1138" t="e">
        <f t="shared" si="4"/>
        <v>#DIV/0!</v>
      </c>
      <c r="T44" s="1068"/>
      <c r="U44" s="1157">
        <f>U41-U35</f>
        <v>0</v>
      </c>
      <c r="V44" s="1157">
        <f>V41-V35</f>
        <v>0</v>
      </c>
      <c r="W44" s="1157">
        <f>W41-W35</f>
        <v>0</v>
      </c>
    </row>
    <row r="45" spans="1:23" ht="15.75" thickBot="1">
      <c r="A45" s="1350" t="s">
        <v>593</v>
      </c>
      <c r="B45" s="1248" t="s">
        <v>552</v>
      </c>
      <c r="C45" s="522">
        <f>+C44-C39</f>
        <v>-12379</v>
      </c>
      <c r="D45" s="522">
        <f>+D44-D39</f>
        <v>-14193</v>
      </c>
      <c r="E45" s="1249" t="s">
        <v>521</v>
      </c>
      <c r="F45" s="1158">
        <f aca="true" t="shared" si="9" ref="F45:Q45">F44-F39</f>
        <v>-29318.42</v>
      </c>
      <c r="G45" s="1158">
        <f t="shared" si="9"/>
        <v>-31499</v>
      </c>
      <c r="H45" s="1158">
        <f t="shared" si="9"/>
        <v>-34131</v>
      </c>
      <c r="I45" s="1157">
        <f t="shared" si="9"/>
        <v>-33983</v>
      </c>
      <c r="J45" s="1157">
        <f>J44-J39</f>
        <v>-33294</v>
      </c>
      <c r="K45" s="1157">
        <f>K44-K39</f>
        <v>-35006</v>
      </c>
      <c r="L45" s="1157">
        <f t="shared" si="9"/>
        <v>-34700</v>
      </c>
      <c r="M45" s="1158">
        <f t="shared" si="9"/>
        <v>-34861.1</v>
      </c>
      <c r="N45" s="1157">
        <f t="shared" si="9"/>
        <v>-7459</v>
      </c>
      <c r="O45" s="1157">
        <f t="shared" si="9"/>
        <v>-8374</v>
      </c>
      <c r="P45" s="1157">
        <f t="shared" si="9"/>
        <v>-10203</v>
      </c>
      <c r="Q45" s="1246">
        <f t="shared" si="9"/>
        <v>0</v>
      </c>
      <c r="R45" s="1137">
        <f>SUM(N45:Q45)</f>
        <v>-26036</v>
      </c>
      <c r="S45" s="1158">
        <f t="shared" si="4"/>
        <v>74.68496404301644</v>
      </c>
      <c r="T45" s="1068"/>
      <c r="U45" s="1157">
        <f>U44-U39</f>
        <v>-15833</v>
      </c>
      <c r="V45" s="1157">
        <f>V44-V39</f>
        <v>-26036</v>
      </c>
      <c r="W45" s="1157">
        <f>W44-W39</f>
        <v>0</v>
      </c>
    </row>
    <row r="46" ht="12.75">
      <c r="A46" s="1053"/>
    </row>
    <row r="47" spans="1:10" ht="12.75">
      <c r="A47" s="114"/>
      <c r="B47" s="1401"/>
      <c r="E47" s="1351" t="s">
        <v>449</v>
      </c>
      <c r="J47" s="496" t="s">
        <v>449</v>
      </c>
    </row>
    <row r="48" ht="12.75">
      <c r="A48" s="1053"/>
    </row>
    <row r="49" spans="1:23" ht="14.25">
      <c r="A49" s="893" t="s">
        <v>697</v>
      </c>
      <c r="R49" s="108"/>
      <c r="S49" s="108"/>
      <c r="T49" s="108"/>
      <c r="U49" s="108"/>
      <c r="V49" s="108"/>
      <c r="W49" s="108"/>
    </row>
    <row r="50" spans="1:23" ht="14.25">
      <c r="A50" s="894" t="s">
        <v>698</v>
      </c>
      <c r="R50" s="108"/>
      <c r="S50" s="108"/>
      <c r="T50" s="108"/>
      <c r="U50" s="108"/>
      <c r="V50" s="108"/>
      <c r="W50" s="108"/>
    </row>
    <row r="51" spans="1:23" ht="14.25">
      <c r="A51" s="1352" t="s">
        <v>699</v>
      </c>
      <c r="R51" s="108"/>
      <c r="S51" s="108"/>
      <c r="T51" s="108"/>
      <c r="U51" s="108"/>
      <c r="V51" s="108"/>
      <c r="W51" s="108"/>
    </row>
    <row r="52" spans="1:23" ht="14.25">
      <c r="A52" s="1353"/>
      <c r="R52" s="108"/>
      <c r="S52" s="108"/>
      <c r="T52" s="108"/>
      <c r="U52" s="108"/>
      <c r="V52" s="108"/>
      <c r="W52" s="108"/>
    </row>
    <row r="53" spans="1:23" ht="12.75">
      <c r="A53" s="1053" t="s">
        <v>704</v>
      </c>
      <c r="R53" s="108"/>
      <c r="S53" s="108"/>
      <c r="T53" s="108"/>
      <c r="U53" s="108"/>
      <c r="V53" s="108"/>
      <c r="W53" s="108"/>
    </row>
    <row r="54" spans="1:23" ht="12.75">
      <c r="A54" s="1053"/>
      <c r="R54" s="108"/>
      <c r="S54" s="108"/>
      <c r="T54" s="108"/>
      <c r="U54" s="108"/>
      <c r="V54" s="108"/>
      <c r="W54" s="108"/>
    </row>
    <row r="55" spans="1:23" ht="12.75">
      <c r="A55" s="1053" t="s">
        <v>739</v>
      </c>
      <c r="R55" s="108"/>
      <c r="S55" s="108"/>
      <c r="T55" s="108"/>
      <c r="U55" s="108"/>
      <c r="V55" s="108"/>
      <c r="W55" s="108"/>
    </row>
    <row r="56" ht="12.75">
      <c r="A56" s="1053" t="s">
        <v>716</v>
      </c>
    </row>
    <row r="57" ht="12.75">
      <c r="A57" s="1053"/>
    </row>
    <row r="58" ht="12.75">
      <c r="A58" s="1053"/>
    </row>
    <row r="59" ht="12.75">
      <c r="A59" s="1053"/>
    </row>
    <row r="60" ht="12.75">
      <c r="A60" s="1053"/>
    </row>
    <row r="61" ht="12.75">
      <c r="A61" s="1053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3"/>
  <sheetViews>
    <sheetView zoomScale="80" zoomScaleNormal="80" zoomScalePageLayoutView="0" workbookViewId="0" topLeftCell="B20">
      <selection activeCell="B114" sqref="A114:IV114"/>
    </sheetView>
  </sheetViews>
  <sheetFormatPr defaultColWidth="9.140625" defaultRowHeight="12.75"/>
  <cols>
    <col min="1" max="1" width="7.57421875" style="11" customWidth="1"/>
    <col min="2" max="3" width="10.28125" style="11" customWidth="1"/>
    <col min="4" max="4" width="76.8515625" style="11" customWidth="1"/>
    <col min="5" max="7" width="16.7109375" style="23" customWidth="1"/>
    <col min="8" max="8" width="11.421875" style="23" customWidth="1"/>
    <col min="9" max="9" width="9.140625" style="11" customWidth="1"/>
    <col min="10" max="10" width="24.8515625" style="11" customWidth="1"/>
    <col min="11" max="16384" width="9.140625" style="11" customWidth="1"/>
  </cols>
  <sheetData>
    <row r="1" spans="1:8" ht="21.75" customHeight="1">
      <c r="A1" s="848" t="s">
        <v>23</v>
      </c>
      <c r="B1" s="845"/>
      <c r="C1" s="845"/>
      <c r="D1" s="8"/>
      <c r="E1" s="9"/>
      <c r="F1" s="9"/>
      <c r="G1" s="10"/>
      <c r="H1" s="10"/>
    </row>
    <row r="2" spans="1:8" ht="12.75" customHeight="1">
      <c r="A2" s="12"/>
      <c r="B2" s="13"/>
      <c r="C2" s="12"/>
      <c r="D2" s="14"/>
      <c r="E2" s="9"/>
      <c r="F2" s="9"/>
      <c r="G2" s="9"/>
      <c r="H2" s="9"/>
    </row>
    <row r="3" spans="1:8" s="13" customFormat="1" ht="24" customHeight="1">
      <c r="A3" s="849" t="s">
        <v>24</v>
      </c>
      <c r="B3" s="849"/>
      <c r="C3" s="849"/>
      <c r="D3" s="845"/>
      <c r="E3" s="845"/>
      <c r="F3" s="206"/>
      <c r="G3" s="206"/>
      <c r="H3" s="206"/>
    </row>
    <row r="4" spans="1:8" s="13" customFormat="1" ht="15" customHeight="1" thickBot="1">
      <c r="A4" s="15"/>
      <c r="B4" s="15"/>
      <c r="C4" s="15"/>
      <c r="D4" s="15"/>
      <c r="E4" s="16"/>
      <c r="F4" s="16"/>
      <c r="G4" s="17" t="s">
        <v>4</v>
      </c>
      <c r="H4" s="16"/>
    </row>
    <row r="5" spans="1:8" ht="15.75">
      <c r="A5" s="207" t="s">
        <v>25</v>
      </c>
      <c r="B5" s="207" t="s">
        <v>26</v>
      </c>
      <c r="C5" s="207" t="s">
        <v>27</v>
      </c>
      <c r="D5" s="208" t="s">
        <v>28</v>
      </c>
      <c r="E5" s="209" t="s">
        <v>29</v>
      </c>
      <c r="F5" s="209" t="s">
        <v>29</v>
      </c>
      <c r="G5" s="209" t="s">
        <v>8</v>
      </c>
      <c r="H5" s="209" t="s">
        <v>30</v>
      </c>
    </row>
    <row r="6" spans="1:8" ht="15.75" customHeight="1" thickBot="1">
      <c r="A6" s="210"/>
      <c r="B6" s="210"/>
      <c r="C6" s="210"/>
      <c r="D6" s="211"/>
      <c r="E6" s="212" t="s">
        <v>31</v>
      </c>
      <c r="F6" s="212" t="s">
        <v>32</v>
      </c>
      <c r="G6" s="213" t="s">
        <v>33</v>
      </c>
      <c r="H6" s="212" t="s">
        <v>34</v>
      </c>
    </row>
    <row r="7" spans="1:8" ht="16.5" customHeight="1" thickTop="1">
      <c r="A7" s="18">
        <v>10</v>
      </c>
      <c r="B7" s="18"/>
      <c r="C7" s="18"/>
      <c r="D7" s="19" t="s">
        <v>35</v>
      </c>
      <c r="E7" s="20"/>
      <c r="F7" s="20"/>
      <c r="G7" s="20"/>
      <c r="H7" s="20"/>
    </row>
    <row r="8" spans="1:8" ht="15" customHeight="1">
      <c r="A8" s="18"/>
      <c r="B8" s="18"/>
      <c r="C8" s="18"/>
      <c r="D8" s="19"/>
      <c r="E8" s="20"/>
      <c r="F8" s="20"/>
      <c r="G8" s="20"/>
      <c r="H8" s="20"/>
    </row>
    <row r="9" spans="1:8" ht="15" customHeight="1" hidden="1">
      <c r="A9" s="21"/>
      <c r="B9" s="21"/>
      <c r="C9" s="21">
        <v>1344</v>
      </c>
      <c r="D9" s="21" t="s">
        <v>36</v>
      </c>
      <c r="E9" s="22">
        <v>0</v>
      </c>
      <c r="F9" s="22">
        <v>0</v>
      </c>
      <c r="G9" s="22"/>
      <c r="H9" s="22" t="e">
        <f>(#REF!/F9)*100</f>
        <v>#REF!</v>
      </c>
    </row>
    <row r="10" spans="1:9" ht="15">
      <c r="A10" s="21"/>
      <c r="B10" s="21"/>
      <c r="C10" s="21">
        <v>1361</v>
      </c>
      <c r="D10" s="21" t="s">
        <v>37</v>
      </c>
      <c r="E10" s="22">
        <v>5</v>
      </c>
      <c r="F10" s="22">
        <v>5</v>
      </c>
      <c r="G10" s="22">
        <v>5</v>
      </c>
      <c r="H10" s="22">
        <f>(G10/F10)*100</f>
        <v>100</v>
      </c>
      <c r="I10" s="23"/>
    </row>
    <row r="11" spans="1:8" ht="15">
      <c r="A11" s="24">
        <v>34053</v>
      </c>
      <c r="B11" s="24"/>
      <c r="C11" s="24">
        <v>4116</v>
      </c>
      <c r="D11" s="21" t="s">
        <v>38</v>
      </c>
      <c r="E11" s="25">
        <v>0</v>
      </c>
      <c r="F11" s="25">
        <v>32</v>
      </c>
      <c r="G11" s="25">
        <v>32</v>
      </c>
      <c r="H11" s="22">
        <f aca="true" t="shared" si="0" ref="H11:H58">(G11/F11)*100</f>
        <v>100</v>
      </c>
    </row>
    <row r="12" spans="1:8" ht="15">
      <c r="A12" s="24">
        <v>34070</v>
      </c>
      <c r="B12" s="24"/>
      <c r="C12" s="24">
        <v>4116</v>
      </c>
      <c r="D12" s="21" t="s">
        <v>39</v>
      </c>
      <c r="E12" s="25">
        <v>0</v>
      </c>
      <c r="F12" s="25">
        <v>5</v>
      </c>
      <c r="G12" s="25">
        <v>5</v>
      </c>
      <c r="H12" s="22">
        <f t="shared" si="0"/>
        <v>100</v>
      </c>
    </row>
    <row r="13" spans="1:8" ht="15">
      <c r="A13" s="24">
        <v>33123</v>
      </c>
      <c r="B13" s="24"/>
      <c r="C13" s="24">
        <v>4116</v>
      </c>
      <c r="D13" s="21" t="s">
        <v>40</v>
      </c>
      <c r="E13" s="22">
        <v>0</v>
      </c>
      <c r="F13" s="22">
        <v>1322.6</v>
      </c>
      <c r="G13" s="22">
        <v>1322.5</v>
      </c>
      <c r="H13" s="22">
        <f t="shared" si="0"/>
        <v>99.99243913503706</v>
      </c>
    </row>
    <row r="14" spans="1:8" ht="15">
      <c r="A14" s="24"/>
      <c r="B14" s="24"/>
      <c r="C14" s="24">
        <v>4121</v>
      </c>
      <c r="D14" s="24" t="s">
        <v>41</v>
      </c>
      <c r="E14" s="25">
        <v>0</v>
      </c>
      <c r="F14" s="25">
        <v>131</v>
      </c>
      <c r="G14" s="22">
        <v>300</v>
      </c>
      <c r="H14" s="22">
        <f t="shared" si="0"/>
        <v>229.00763358778624</v>
      </c>
    </row>
    <row r="15" spans="1:9" ht="15">
      <c r="A15" s="24">
        <v>341</v>
      </c>
      <c r="B15" s="24"/>
      <c r="C15" s="24">
        <v>4122</v>
      </c>
      <c r="D15" s="24" t="s">
        <v>42</v>
      </c>
      <c r="E15" s="26">
        <v>0</v>
      </c>
      <c r="F15" s="26">
        <v>200</v>
      </c>
      <c r="G15" s="25">
        <v>200</v>
      </c>
      <c r="H15" s="22">
        <f t="shared" si="0"/>
        <v>100</v>
      </c>
      <c r="I15" s="23"/>
    </row>
    <row r="16" spans="1:8" ht="15">
      <c r="A16" s="24">
        <v>379</v>
      </c>
      <c r="B16" s="24"/>
      <c r="C16" s="24">
        <v>4122</v>
      </c>
      <c r="D16" s="24" t="s">
        <v>43</v>
      </c>
      <c r="E16" s="26">
        <v>0</v>
      </c>
      <c r="F16" s="26">
        <v>31</v>
      </c>
      <c r="G16" s="25">
        <v>31</v>
      </c>
      <c r="H16" s="22">
        <f t="shared" si="0"/>
        <v>100</v>
      </c>
    </row>
    <row r="17" spans="1:8" ht="15" customHeight="1">
      <c r="A17" s="21">
        <v>214</v>
      </c>
      <c r="B17" s="21"/>
      <c r="C17" s="21">
        <v>4122</v>
      </c>
      <c r="D17" s="24" t="s">
        <v>44</v>
      </c>
      <c r="E17" s="22">
        <v>0</v>
      </c>
      <c r="F17" s="22">
        <v>60</v>
      </c>
      <c r="G17" s="22">
        <v>60</v>
      </c>
      <c r="H17" s="22">
        <f t="shared" si="0"/>
        <v>100</v>
      </c>
    </row>
    <row r="18" spans="1:8" ht="15">
      <c r="A18" s="24">
        <v>33030</v>
      </c>
      <c r="B18" s="24"/>
      <c r="C18" s="24">
        <v>4122</v>
      </c>
      <c r="D18" s="24" t="s">
        <v>45</v>
      </c>
      <c r="E18" s="26">
        <v>0</v>
      </c>
      <c r="F18" s="26">
        <v>728.5</v>
      </c>
      <c r="G18" s="25">
        <v>728.3</v>
      </c>
      <c r="H18" s="22">
        <f t="shared" si="0"/>
        <v>99.97254632807137</v>
      </c>
    </row>
    <row r="19" spans="1:8" ht="15" hidden="1">
      <c r="A19" s="24">
        <v>33926</v>
      </c>
      <c r="B19" s="24"/>
      <c r="C19" s="24">
        <v>4222</v>
      </c>
      <c r="D19" s="24" t="s">
        <v>46</v>
      </c>
      <c r="E19" s="26"/>
      <c r="F19" s="26"/>
      <c r="G19" s="25"/>
      <c r="H19" s="22" t="e">
        <f t="shared" si="0"/>
        <v>#DIV/0!</v>
      </c>
    </row>
    <row r="20" spans="1:8" ht="15">
      <c r="A20" s="24"/>
      <c r="B20" s="24">
        <v>2143</v>
      </c>
      <c r="C20" s="24">
        <v>2111</v>
      </c>
      <c r="D20" s="24" t="s">
        <v>47</v>
      </c>
      <c r="E20" s="25">
        <v>400</v>
      </c>
      <c r="F20" s="25">
        <v>400</v>
      </c>
      <c r="G20" s="25">
        <v>372.5</v>
      </c>
      <c r="H20" s="22">
        <f t="shared" si="0"/>
        <v>93.125</v>
      </c>
    </row>
    <row r="21" spans="1:8" ht="15">
      <c r="A21" s="24"/>
      <c r="B21" s="24">
        <v>2143</v>
      </c>
      <c r="C21" s="24">
        <v>2112</v>
      </c>
      <c r="D21" s="24" t="s">
        <v>48</v>
      </c>
      <c r="E21" s="25">
        <v>200</v>
      </c>
      <c r="F21" s="25">
        <v>200</v>
      </c>
      <c r="G21" s="25">
        <v>219.8</v>
      </c>
      <c r="H21" s="22">
        <f t="shared" si="0"/>
        <v>109.89999999999999</v>
      </c>
    </row>
    <row r="22" spans="1:8" ht="15">
      <c r="A22" s="24"/>
      <c r="B22" s="24">
        <v>2143</v>
      </c>
      <c r="C22" s="24">
        <v>2212</v>
      </c>
      <c r="D22" s="24" t="s">
        <v>49</v>
      </c>
      <c r="E22" s="25">
        <v>120</v>
      </c>
      <c r="F22" s="25">
        <v>120</v>
      </c>
      <c r="G22" s="25">
        <v>90</v>
      </c>
      <c r="H22" s="22">
        <f t="shared" si="0"/>
        <v>75</v>
      </c>
    </row>
    <row r="23" spans="1:8" ht="15" hidden="1">
      <c r="A23" s="24"/>
      <c r="B23" s="24">
        <v>2143</v>
      </c>
      <c r="C23" s="24">
        <v>2324</v>
      </c>
      <c r="D23" s="24" t="s">
        <v>50</v>
      </c>
      <c r="E23" s="25">
        <v>0</v>
      </c>
      <c r="F23" s="25">
        <v>0</v>
      </c>
      <c r="G23" s="25"/>
      <c r="H23" s="22" t="e">
        <f t="shared" si="0"/>
        <v>#DIV/0!</v>
      </c>
    </row>
    <row r="24" spans="1:8" ht="15" hidden="1">
      <c r="A24" s="24"/>
      <c r="B24" s="24">
        <v>2143</v>
      </c>
      <c r="C24" s="24">
        <v>2329</v>
      </c>
      <c r="D24" s="24" t="s">
        <v>51</v>
      </c>
      <c r="E24" s="25"/>
      <c r="F24" s="25"/>
      <c r="G24" s="25"/>
      <c r="H24" s="22" t="e">
        <f t="shared" si="0"/>
        <v>#DIV/0!</v>
      </c>
    </row>
    <row r="25" spans="1:8" ht="15" hidden="1">
      <c r="A25" s="24"/>
      <c r="B25" s="24">
        <v>3111</v>
      </c>
      <c r="C25" s="24">
        <v>2122</v>
      </c>
      <c r="D25" s="24" t="s">
        <v>52</v>
      </c>
      <c r="E25" s="25">
        <v>0</v>
      </c>
      <c r="F25" s="25">
        <v>0</v>
      </c>
      <c r="G25" s="25"/>
      <c r="H25" s="22" t="e">
        <f t="shared" si="0"/>
        <v>#DIV/0!</v>
      </c>
    </row>
    <row r="26" spans="1:8" ht="15" hidden="1">
      <c r="A26" s="24"/>
      <c r="B26" s="24">
        <v>3113</v>
      </c>
      <c r="C26" s="24">
        <v>2119</v>
      </c>
      <c r="D26" s="24" t="s">
        <v>53</v>
      </c>
      <c r="E26" s="25">
        <v>0</v>
      </c>
      <c r="F26" s="25">
        <v>0</v>
      </c>
      <c r="G26" s="25"/>
      <c r="H26" s="22" t="e">
        <f t="shared" si="0"/>
        <v>#DIV/0!</v>
      </c>
    </row>
    <row r="27" spans="1:8" ht="15">
      <c r="A27" s="24"/>
      <c r="B27" s="24">
        <v>3113</v>
      </c>
      <c r="C27" s="24">
        <v>2122</v>
      </c>
      <c r="D27" s="24" t="s">
        <v>54</v>
      </c>
      <c r="E27" s="25">
        <v>1000</v>
      </c>
      <c r="F27" s="25">
        <v>1000</v>
      </c>
      <c r="G27" s="25">
        <v>1000</v>
      </c>
      <c r="H27" s="22">
        <f t="shared" si="0"/>
        <v>100</v>
      </c>
    </row>
    <row r="28" spans="1:9" ht="15">
      <c r="A28" s="24"/>
      <c r="B28" s="24">
        <v>3313</v>
      </c>
      <c r="C28" s="24">
        <v>2132</v>
      </c>
      <c r="D28" s="24" t="s">
        <v>55</v>
      </c>
      <c r="E28" s="25">
        <v>331.8</v>
      </c>
      <c r="F28" s="25">
        <v>331.8</v>
      </c>
      <c r="G28" s="25">
        <v>100</v>
      </c>
      <c r="H28" s="22">
        <f t="shared" si="0"/>
        <v>30.13863773357444</v>
      </c>
      <c r="I28" s="23"/>
    </row>
    <row r="29" spans="1:8" ht="15">
      <c r="A29" s="21"/>
      <c r="B29" s="21">
        <v>3313</v>
      </c>
      <c r="C29" s="21">
        <v>2133</v>
      </c>
      <c r="D29" s="21" t="s">
        <v>56</v>
      </c>
      <c r="E29" s="22">
        <v>18.2</v>
      </c>
      <c r="F29" s="22">
        <v>18.2</v>
      </c>
      <c r="G29" s="25">
        <v>0</v>
      </c>
      <c r="H29" s="22">
        <f t="shared" si="0"/>
        <v>0</v>
      </c>
    </row>
    <row r="30" spans="1:8" ht="15">
      <c r="A30" s="21"/>
      <c r="B30" s="21">
        <v>3313</v>
      </c>
      <c r="C30" s="21">
        <v>2324</v>
      </c>
      <c r="D30" s="21" t="s">
        <v>57</v>
      </c>
      <c r="E30" s="22">
        <v>0</v>
      </c>
      <c r="F30" s="22">
        <v>0</v>
      </c>
      <c r="G30" s="22">
        <v>96.8</v>
      </c>
      <c r="H30" s="22" t="e">
        <f t="shared" si="0"/>
        <v>#DIV/0!</v>
      </c>
    </row>
    <row r="31" spans="1:8" ht="15" hidden="1">
      <c r="A31" s="21"/>
      <c r="B31" s="21">
        <v>3392</v>
      </c>
      <c r="C31" s="21">
        <v>2329</v>
      </c>
      <c r="D31" s="21" t="s">
        <v>58</v>
      </c>
      <c r="E31" s="22"/>
      <c r="F31" s="22"/>
      <c r="G31" s="22"/>
      <c r="H31" s="22" t="e">
        <f t="shared" si="0"/>
        <v>#DIV/0!</v>
      </c>
    </row>
    <row r="32" spans="1:8" ht="15" hidden="1">
      <c r="A32" s="24"/>
      <c r="B32" s="24">
        <v>3314</v>
      </c>
      <c r="C32" s="24">
        <v>2229</v>
      </c>
      <c r="D32" s="24" t="s">
        <v>59</v>
      </c>
      <c r="E32" s="25"/>
      <c r="F32" s="25"/>
      <c r="G32" s="25"/>
      <c r="H32" s="22" t="e">
        <f t="shared" si="0"/>
        <v>#DIV/0!</v>
      </c>
    </row>
    <row r="33" spans="1:8" ht="15" hidden="1">
      <c r="A33" s="24"/>
      <c r="B33" s="24">
        <v>3315</v>
      </c>
      <c r="C33" s="24">
        <v>2322</v>
      </c>
      <c r="D33" s="24" t="s">
        <v>60</v>
      </c>
      <c r="E33" s="25"/>
      <c r="F33" s="25"/>
      <c r="G33" s="25"/>
      <c r="H33" s="22" t="e">
        <f t="shared" si="0"/>
        <v>#DIV/0!</v>
      </c>
    </row>
    <row r="34" spans="1:8" ht="15">
      <c r="A34" s="24"/>
      <c r="B34" s="24">
        <v>3319</v>
      </c>
      <c r="C34" s="24">
        <v>2324</v>
      </c>
      <c r="D34" s="24" t="s">
        <v>61</v>
      </c>
      <c r="E34" s="25">
        <v>0</v>
      </c>
      <c r="F34" s="25">
        <v>0</v>
      </c>
      <c r="G34" s="25">
        <v>5.8</v>
      </c>
      <c r="H34" s="22" t="e">
        <f t="shared" si="0"/>
        <v>#DIV/0!</v>
      </c>
    </row>
    <row r="35" spans="1:9" ht="15" customHeight="1" hidden="1">
      <c r="A35" s="21"/>
      <c r="B35" s="21">
        <v>3319</v>
      </c>
      <c r="C35" s="21">
        <v>2329</v>
      </c>
      <c r="D35" s="21" t="s">
        <v>62</v>
      </c>
      <c r="E35" s="22"/>
      <c r="F35" s="22"/>
      <c r="G35" s="22"/>
      <c r="H35" s="22" t="e">
        <f t="shared" si="0"/>
        <v>#DIV/0!</v>
      </c>
      <c r="I35" s="23"/>
    </row>
    <row r="36" spans="1:8" ht="15">
      <c r="A36" s="24"/>
      <c r="B36" s="24">
        <v>3326</v>
      </c>
      <c r="C36" s="24">
        <v>2212</v>
      </c>
      <c r="D36" s="24" t="s">
        <v>63</v>
      </c>
      <c r="E36" s="25">
        <v>20</v>
      </c>
      <c r="F36" s="25">
        <v>20</v>
      </c>
      <c r="G36" s="25">
        <v>6</v>
      </c>
      <c r="H36" s="22">
        <f t="shared" si="0"/>
        <v>30</v>
      </c>
    </row>
    <row r="37" spans="1:8" ht="15">
      <c r="A37" s="24"/>
      <c r="B37" s="24">
        <v>3326</v>
      </c>
      <c r="C37" s="24">
        <v>2324</v>
      </c>
      <c r="D37" s="24" t="s">
        <v>64</v>
      </c>
      <c r="E37" s="25">
        <v>2</v>
      </c>
      <c r="F37" s="25">
        <v>2</v>
      </c>
      <c r="G37" s="25">
        <v>2</v>
      </c>
      <c r="H37" s="22">
        <f t="shared" si="0"/>
        <v>100</v>
      </c>
    </row>
    <row r="38" spans="1:8" ht="15">
      <c r="A38" s="24"/>
      <c r="B38" s="24">
        <v>3399</v>
      </c>
      <c r="C38" s="24">
        <v>2111</v>
      </c>
      <c r="D38" s="24" t="s">
        <v>65</v>
      </c>
      <c r="E38" s="25">
        <v>200</v>
      </c>
      <c r="F38" s="25">
        <v>200</v>
      </c>
      <c r="G38" s="25">
        <v>203.4</v>
      </c>
      <c r="H38" s="22">
        <f t="shared" si="0"/>
        <v>101.70000000000002</v>
      </c>
    </row>
    <row r="39" spans="1:8" ht="15">
      <c r="A39" s="24"/>
      <c r="B39" s="24">
        <v>3399</v>
      </c>
      <c r="C39" s="24">
        <v>2112</v>
      </c>
      <c r="D39" s="24" t="s">
        <v>66</v>
      </c>
      <c r="E39" s="25">
        <v>0</v>
      </c>
      <c r="F39" s="25">
        <v>0</v>
      </c>
      <c r="G39" s="25">
        <v>3.6</v>
      </c>
      <c r="H39" s="22" t="e">
        <f t="shared" si="0"/>
        <v>#DIV/0!</v>
      </c>
    </row>
    <row r="40" spans="1:8" ht="15">
      <c r="A40" s="24"/>
      <c r="B40" s="24">
        <v>3399</v>
      </c>
      <c r="C40" s="24">
        <v>2133</v>
      </c>
      <c r="D40" s="24" t="s">
        <v>67</v>
      </c>
      <c r="E40" s="25">
        <v>50</v>
      </c>
      <c r="F40" s="25">
        <v>50</v>
      </c>
      <c r="G40" s="25">
        <v>47</v>
      </c>
      <c r="H40" s="22">
        <f t="shared" si="0"/>
        <v>94</v>
      </c>
    </row>
    <row r="41" spans="1:9" ht="15">
      <c r="A41" s="24"/>
      <c r="B41" s="24">
        <v>3399</v>
      </c>
      <c r="C41" s="24">
        <v>2321</v>
      </c>
      <c r="D41" s="24" t="s">
        <v>68</v>
      </c>
      <c r="E41" s="25">
        <v>120</v>
      </c>
      <c r="F41" s="25">
        <v>60</v>
      </c>
      <c r="G41" s="25">
        <v>0</v>
      </c>
      <c r="H41" s="22">
        <f t="shared" si="0"/>
        <v>0</v>
      </c>
      <c r="I41" s="23"/>
    </row>
    <row r="42" spans="1:8" ht="15">
      <c r="A42" s="24"/>
      <c r="B42" s="24">
        <v>3399</v>
      </c>
      <c r="C42" s="24">
        <v>2324</v>
      </c>
      <c r="D42" s="24" t="s">
        <v>69</v>
      </c>
      <c r="E42" s="25">
        <v>0</v>
      </c>
      <c r="F42" s="25">
        <v>60</v>
      </c>
      <c r="G42" s="25">
        <v>95.1</v>
      </c>
      <c r="H42" s="22">
        <f t="shared" si="0"/>
        <v>158.5</v>
      </c>
    </row>
    <row r="43" spans="1:8" ht="15">
      <c r="A43" s="21"/>
      <c r="B43" s="21">
        <v>3399</v>
      </c>
      <c r="C43" s="21">
        <v>2329</v>
      </c>
      <c r="D43" s="21" t="s">
        <v>70</v>
      </c>
      <c r="E43" s="25">
        <v>0</v>
      </c>
      <c r="F43" s="25">
        <v>0</v>
      </c>
      <c r="G43" s="25">
        <v>54.3</v>
      </c>
      <c r="H43" s="22" t="e">
        <f t="shared" si="0"/>
        <v>#DIV/0!</v>
      </c>
    </row>
    <row r="44" spans="1:8" ht="15" hidden="1">
      <c r="A44" s="21"/>
      <c r="B44" s="21">
        <v>3412</v>
      </c>
      <c r="C44" s="21">
        <v>2122</v>
      </c>
      <c r="D44" s="21" t="s">
        <v>71</v>
      </c>
      <c r="E44" s="25"/>
      <c r="F44" s="25"/>
      <c r="G44" s="25"/>
      <c r="H44" s="22" t="e">
        <f t="shared" si="0"/>
        <v>#DIV/0!</v>
      </c>
    </row>
    <row r="45" spans="1:8" ht="15" hidden="1">
      <c r="A45" s="24"/>
      <c r="B45" s="24">
        <v>3412</v>
      </c>
      <c r="C45" s="24">
        <v>2324</v>
      </c>
      <c r="D45" s="24" t="s">
        <v>72</v>
      </c>
      <c r="E45" s="25"/>
      <c r="F45" s="25"/>
      <c r="G45" s="25"/>
      <c r="H45" s="22" t="e">
        <f t="shared" si="0"/>
        <v>#DIV/0!</v>
      </c>
    </row>
    <row r="46" spans="1:8" ht="15" hidden="1">
      <c r="A46" s="24"/>
      <c r="B46" s="24">
        <v>3412</v>
      </c>
      <c r="C46" s="24">
        <v>2329</v>
      </c>
      <c r="D46" s="24" t="s">
        <v>73</v>
      </c>
      <c r="E46" s="25"/>
      <c r="F46" s="25"/>
      <c r="G46" s="25"/>
      <c r="H46" s="22" t="e">
        <f t="shared" si="0"/>
        <v>#DIV/0!</v>
      </c>
    </row>
    <row r="47" spans="1:8" ht="15">
      <c r="A47" s="24"/>
      <c r="B47" s="24">
        <v>3412</v>
      </c>
      <c r="C47" s="24">
        <v>2132</v>
      </c>
      <c r="D47" s="24" t="s">
        <v>74</v>
      </c>
      <c r="E47" s="25">
        <v>579.6</v>
      </c>
      <c r="F47" s="25">
        <v>579.6</v>
      </c>
      <c r="G47" s="22">
        <v>247.1</v>
      </c>
      <c r="H47" s="22">
        <f t="shared" si="0"/>
        <v>42.63285024154589</v>
      </c>
    </row>
    <row r="48" spans="1:9" ht="15">
      <c r="A48" s="24"/>
      <c r="B48" s="24">
        <v>3412</v>
      </c>
      <c r="C48" s="24">
        <v>2133</v>
      </c>
      <c r="D48" s="24" t="s">
        <v>75</v>
      </c>
      <c r="E48" s="25">
        <v>2.4</v>
      </c>
      <c r="F48" s="25">
        <v>2.4</v>
      </c>
      <c r="G48" s="22">
        <v>2.9</v>
      </c>
      <c r="H48" s="22">
        <f t="shared" si="0"/>
        <v>120.83333333333333</v>
      </c>
      <c r="I48" s="23"/>
    </row>
    <row r="49" spans="1:8" ht="15" hidden="1">
      <c r="A49" s="24"/>
      <c r="B49" s="24">
        <v>3412</v>
      </c>
      <c r="C49" s="24">
        <v>2229</v>
      </c>
      <c r="D49" s="24" t="s">
        <v>76</v>
      </c>
      <c r="E49" s="25"/>
      <c r="F49" s="25"/>
      <c r="G49" s="22"/>
      <c r="H49" s="22" t="e">
        <f t="shared" si="0"/>
        <v>#DIV/0!</v>
      </c>
    </row>
    <row r="50" spans="1:8" ht="15">
      <c r="A50" s="24"/>
      <c r="B50" s="24">
        <v>3412</v>
      </c>
      <c r="C50" s="24">
        <v>2324</v>
      </c>
      <c r="D50" s="24" t="s">
        <v>77</v>
      </c>
      <c r="E50" s="25">
        <v>0</v>
      </c>
      <c r="F50" s="25">
        <v>0</v>
      </c>
      <c r="G50" s="25">
        <v>62.3</v>
      </c>
      <c r="H50" s="22" t="e">
        <f t="shared" si="0"/>
        <v>#DIV/0!</v>
      </c>
    </row>
    <row r="51" spans="1:8" ht="15" hidden="1">
      <c r="A51" s="24"/>
      <c r="B51" s="24">
        <v>3419</v>
      </c>
      <c r="C51" s="24">
        <v>2132</v>
      </c>
      <c r="D51" s="24" t="s">
        <v>78</v>
      </c>
      <c r="E51" s="25"/>
      <c r="F51" s="25"/>
      <c r="G51" s="25"/>
      <c r="H51" s="22" t="e">
        <f t="shared" si="0"/>
        <v>#DIV/0!</v>
      </c>
    </row>
    <row r="52" spans="1:8" ht="15">
      <c r="A52" s="24"/>
      <c r="B52" s="24">
        <v>3419</v>
      </c>
      <c r="C52" s="24">
        <v>2229</v>
      </c>
      <c r="D52" s="24" t="s">
        <v>79</v>
      </c>
      <c r="E52" s="25">
        <v>0</v>
      </c>
      <c r="F52" s="25">
        <v>0</v>
      </c>
      <c r="G52" s="25">
        <v>30.7</v>
      </c>
      <c r="H52" s="22" t="e">
        <f t="shared" si="0"/>
        <v>#DIV/0!</v>
      </c>
    </row>
    <row r="53" spans="1:8" ht="15" hidden="1">
      <c r="A53" s="24"/>
      <c r="B53" s="24">
        <v>3421</v>
      </c>
      <c r="C53" s="24">
        <v>2132</v>
      </c>
      <c r="D53" s="24" t="s">
        <v>80</v>
      </c>
      <c r="E53" s="25"/>
      <c r="F53" s="25"/>
      <c r="G53" s="25"/>
      <c r="H53" s="22" t="e">
        <f t="shared" si="0"/>
        <v>#DIV/0!</v>
      </c>
    </row>
    <row r="54" spans="1:8" ht="15">
      <c r="A54" s="24"/>
      <c r="B54" s="24">
        <v>3421</v>
      </c>
      <c r="C54" s="24">
        <v>2229</v>
      </c>
      <c r="D54" s="24" t="s">
        <v>81</v>
      </c>
      <c r="E54" s="25">
        <v>0</v>
      </c>
      <c r="F54" s="25">
        <v>0</v>
      </c>
      <c r="G54" s="25">
        <v>7.3</v>
      </c>
      <c r="H54" s="22" t="e">
        <f t="shared" si="0"/>
        <v>#DIV/0!</v>
      </c>
    </row>
    <row r="55" spans="1:8" ht="15" hidden="1">
      <c r="A55" s="24"/>
      <c r="B55" s="24">
        <v>3421</v>
      </c>
      <c r="C55" s="24">
        <v>2324</v>
      </c>
      <c r="D55" s="24" t="s">
        <v>82</v>
      </c>
      <c r="E55" s="25"/>
      <c r="F55" s="25"/>
      <c r="G55" s="25"/>
      <c r="H55" s="22" t="e">
        <f t="shared" si="0"/>
        <v>#DIV/0!</v>
      </c>
    </row>
    <row r="56" spans="1:8" ht="15">
      <c r="A56" s="24"/>
      <c r="B56" s="24">
        <v>3429</v>
      </c>
      <c r="C56" s="24">
        <v>2229</v>
      </c>
      <c r="D56" s="24" t="s">
        <v>83</v>
      </c>
      <c r="E56" s="25">
        <v>0</v>
      </c>
      <c r="F56" s="25">
        <v>0</v>
      </c>
      <c r="G56" s="25">
        <v>7.5</v>
      </c>
      <c r="H56" s="22" t="e">
        <f t="shared" si="0"/>
        <v>#DIV/0!</v>
      </c>
    </row>
    <row r="57" spans="1:8" ht="15" hidden="1">
      <c r="A57" s="24"/>
      <c r="B57" s="24">
        <v>6171</v>
      </c>
      <c r="C57" s="24">
        <v>2212</v>
      </c>
      <c r="D57" s="24" t="s">
        <v>84</v>
      </c>
      <c r="E57" s="25"/>
      <c r="F57" s="25"/>
      <c r="G57" s="25"/>
      <c r="H57" s="22" t="e">
        <f t="shared" si="0"/>
        <v>#DIV/0!</v>
      </c>
    </row>
    <row r="58" spans="1:8" ht="15" customHeight="1">
      <c r="A58" s="21"/>
      <c r="B58" s="21">
        <v>6409</v>
      </c>
      <c r="C58" s="21">
        <v>2328</v>
      </c>
      <c r="D58" s="21" t="s">
        <v>85</v>
      </c>
      <c r="E58" s="22">
        <v>0</v>
      </c>
      <c r="F58" s="22">
        <v>0</v>
      </c>
      <c r="G58" s="22">
        <v>0</v>
      </c>
      <c r="H58" s="22" t="e">
        <f t="shared" si="0"/>
        <v>#DIV/0!</v>
      </c>
    </row>
    <row r="59" spans="1:8" ht="15" customHeight="1" thickBot="1">
      <c r="A59" s="27"/>
      <c r="B59" s="27"/>
      <c r="C59" s="27"/>
      <c r="D59" s="27"/>
      <c r="E59" s="28"/>
      <c r="F59" s="28"/>
      <c r="G59" s="28"/>
      <c r="H59" s="28"/>
    </row>
    <row r="60" spans="1:8" s="32" customFormat="1" ht="21.75" customHeight="1" thickBot="1" thickTop="1">
      <c r="A60" s="29"/>
      <c r="B60" s="29"/>
      <c r="C60" s="29"/>
      <c r="D60" s="30" t="s">
        <v>86</v>
      </c>
      <c r="E60" s="31">
        <f>SUM(E9:E58)</f>
        <v>3049</v>
      </c>
      <c r="F60" s="31">
        <f>SUM(F9:F58)</f>
        <v>5559.1</v>
      </c>
      <c r="G60" s="31">
        <f>SUM(G9:G58)</f>
        <v>5337.9000000000015</v>
      </c>
      <c r="H60" s="64">
        <f>(G60/F60)*100</f>
        <v>96.02093864114697</v>
      </c>
    </row>
    <row r="61" spans="1:8" ht="15" customHeight="1">
      <c r="A61" s="32"/>
      <c r="B61" s="32"/>
      <c r="C61" s="32"/>
      <c r="D61" s="32"/>
      <c r="E61" s="33"/>
      <c r="F61" s="33"/>
      <c r="G61" s="33"/>
      <c r="H61" s="33"/>
    </row>
    <row r="62" spans="1:8" ht="15" customHeight="1">
      <c r="A62" s="32"/>
      <c r="B62" s="32"/>
      <c r="C62" s="32"/>
      <c r="D62" s="32"/>
      <c r="E62" s="33"/>
      <c r="F62" s="33"/>
      <c r="G62" s="33"/>
      <c r="H62" s="33"/>
    </row>
    <row r="63" spans="1:8" ht="15" customHeight="1" thickBot="1">
      <c r="A63" s="32"/>
      <c r="B63" s="32"/>
      <c r="C63" s="32"/>
      <c r="D63" s="32"/>
      <c r="E63" s="33"/>
      <c r="F63" s="33"/>
      <c r="G63" s="33"/>
      <c r="H63" s="33"/>
    </row>
    <row r="64" spans="1:8" ht="15.75">
      <c r="A64" s="207" t="s">
        <v>25</v>
      </c>
      <c r="B64" s="207" t="s">
        <v>26</v>
      </c>
      <c r="C64" s="207" t="s">
        <v>27</v>
      </c>
      <c r="D64" s="208" t="s">
        <v>28</v>
      </c>
      <c r="E64" s="209" t="s">
        <v>29</v>
      </c>
      <c r="F64" s="209" t="s">
        <v>29</v>
      </c>
      <c r="G64" s="209" t="s">
        <v>8</v>
      </c>
      <c r="H64" s="209" t="s">
        <v>30</v>
      </c>
    </row>
    <row r="65" spans="1:8" ht="15.75" customHeight="1" thickBot="1">
      <c r="A65" s="210"/>
      <c r="B65" s="210"/>
      <c r="C65" s="210"/>
      <c r="D65" s="211"/>
      <c r="E65" s="212" t="s">
        <v>31</v>
      </c>
      <c r="F65" s="212" t="s">
        <v>32</v>
      </c>
      <c r="G65" s="213" t="s">
        <v>33</v>
      </c>
      <c r="H65" s="212" t="s">
        <v>34</v>
      </c>
    </row>
    <row r="66" spans="1:8" ht="15.75" customHeight="1" thickTop="1">
      <c r="A66" s="34">
        <v>20</v>
      </c>
      <c r="B66" s="18"/>
      <c r="C66" s="18"/>
      <c r="D66" s="19" t="s">
        <v>87</v>
      </c>
      <c r="E66" s="20"/>
      <c r="F66" s="20"/>
      <c r="G66" s="20"/>
      <c r="H66" s="20"/>
    </row>
    <row r="67" spans="1:8" ht="15.75" customHeight="1">
      <c r="A67" s="34"/>
      <c r="B67" s="18"/>
      <c r="C67" s="18"/>
      <c r="D67" s="19"/>
      <c r="E67" s="20"/>
      <c r="F67" s="20"/>
      <c r="G67" s="20"/>
      <c r="H67" s="20"/>
    </row>
    <row r="68" spans="1:8" ht="15.75" customHeight="1" hidden="1">
      <c r="A68" s="34"/>
      <c r="B68" s="18"/>
      <c r="C68" s="35">
        <v>2420</v>
      </c>
      <c r="D68" s="36" t="s">
        <v>88</v>
      </c>
      <c r="E68" s="22">
        <v>0</v>
      </c>
      <c r="F68" s="22">
        <v>0</v>
      </c>
      <c r="G68" s="22"/>
      <c r="H68" s="22" t="e">
        <f>(#REF!/F68)*100</f>
        <v>#REF!</v>
      </c>
    </row>
    <row r="69" spans="1:8" ht="15.75" customHeight="1">
      <c r="A69" s="34"/>
      <c r="B69" s="18"/>
      <c r="C69" s="35">
        <v>4113</v>
      </c>
      <c r="D69" s="36" t="s">
        <v>89</v>
      </c>
      <c r="E69" s="22">
        <v>0</v>
      </c>
      <c r="F69" s="22">
        <f>99.5+34.5+13.1+7.7</f>
        <v>154.79999999999998</v>
      </c>
      <c r="G69" s="22">
        <v>0</v>
      </c>
      <c r="H69" s="22">
        <f aca="true" t="shared" si="1" ref="H69:H103">(G69/F69)*100</f>
        <v>0</v>
      </c>
    </row>
    <row r="70" spans="1:8" ht="15.75">
      <c r="A70" s="37">
        <v>14018</v>
      </c>
      <c r="B70" s="18"/>
      <c r="C70" s="38">
        <v>4116</v>
      </c>
      <c r="D70" s="39" t="s">
        <v>90</v>
      </c>
      <c r="E70" s="22">
        <v>0</v>
      </c>
      <c r="F70" s="22">
        <v>640</v>
      </c>
      <c r="G70" s="25">
        <v>640</v>
      </c>
      <c r="H70" s="22">
        <f t="shared" si="1"/>
        <v>100</v>
      </c>
    </row>
    <row r="71" spans="1:10" ht="15.75">
      <c r="A71" s="37"/>
      <c r="B71" s="18"/>
      <c r="C71" s="38">
        <v>4116</v>
      </c>
      <c r="D71" s="21" t="s">
        <v>91</v>
      </c>
      <c r="E71" s="22">
        <v>90</v>
      </c>
      <c r="F71" s="22">
        <v>2650.1</v>
      </c>
      <c r="G71" s="25">
        <v>1764.3</v>
      </c>
      <c r="H71" s="22">
        <f t="shared" si="1"/>
        <v>66.57484623221765</v>
      </c>
      <c r="J71" s="23"/>
    </row>
    <row r="72" spans="1:8" ht="15.75" customHeight="1">
      <c r="A72" s="37">
        <v>15374</v>
      </c>
      <c r="B72" s="18"/>
      <c r="C72" s="35">
        <v>4116</v>
      </c>
      <c r="D72" s="39" t="s">
        <v>92</v>
      </c>
      <c r="E72" s="20">
        <v>0</v>
      </c>
      <c r="F72" s="20">
        <f>1691+482.9+221.9+130.2</f>
        <v>2526</v>
      </c>
      <c r="G72" s="25">
        <v>0</v>
      </c>
      <c r="H72" s="22">
        <f t="shared" si="1"/>
        <v>0</v>
      </c>
    </row>
    <row r="73" spans="1:8" ht="15" customHeight="1">
      <c r="A73" s="21">
        <v>221</v>
      </c>
      <c r="B73" s="21"/>
      <c r="C73" s="21">
        <v>4122</v>
      </c>
      <c r="D73" s="21" t="s">
        <v>93</v>
      </c>
      <c r="E73" s="22">
        <v>0</v>
      </c>
      <c r="F73" s="22">
        <v>0</v>
      </c>
      <c r="G73" s="22">
        <v>70</v>
      </c>
      <c r="H73" s="22" t="e">
        <f t="shared" si="1"/>
        <v>#DIV/0!</v>
      </c>
    </row>
    <row r="74" spans="1:8" ht="15.75">
      <c r="A74" s="37">
        <v>359</v>
      </c>
      <c r="B74" s="18"/>
      <c r="C74" s="35">
        <v>4122</v>
      </c>
      <c r="D74" s="39" t="s">
        <v>94</v>
      </c>
      <c r="E74" s="22">
        <v>0</v>
      </c>
      <c r="F74" s="22">
        <v>20</v>
      </c>
      <c r="G74" s="25">
        <v>0</v>
      </c>
      <c r="H74" s="22">
        <f t="shared" si="1"/>
        <v>0</v>
      </c>
    </row>
    <row r="75" spans="1:10" ht="15.75" customHeight="1">
      <c r="A75" s="37">
        <v>71024</v>
      </c>
      <c r="B75" s="18"/>
      <c r="C75" s="35">
        <v>4213</v>
      </c>
      <c r="D75" s="40" t="s">
        <v>95</v>
      </c>
      <c r="E75" s="20">
        <v>100</v>
      </c>
      <c r="F75" s="20">
        <v>0</v>
      </c>
      <c r="G75" s="25">
        <v>0</v>
      </c>
      <c r="H75" s="22" t="e">
        <f t="shared" si="1"/>
        <v>#DIV/0!</v>
      </c>
      <c r="J75" s="23"/>
    </row>
    <row r="76" spans="1:9" ht="15.75" customHeight="1">
      <c r="A76" s="37">
        <v>81012</v>
      </c>
      <c r="B76" s="18"/>
      <c r="C76" s="35">
        <v>4213</v>
      </c>
      <c r="D76" s="40" t="s">
        <v>96</v>
      </c>
      <c r="E76" s="20">
        <v>140</v>
      </c>
      <c r="F76" s="20">
        <v>2.7</v>
      </c>
      <c r="G76" s="25">
        <v>2.7</v>
      </c>
      <c r="H76" s="22">
        <f t="shared" si="1"/>
        <v>100</v>
      </c>
      <c r="I76" s="23"/>
    </row>
    <row r="77" spans="1:8" ht="15.75" customHeight="1">
      <c r="A77" s="37">
        <v>1036</v>
      </c>
      <c r="B77" s="18"/>
      <c r="C77" s="35">
        <v>4213</v>
      </c>
      <c r="D77" s="40" t="s">
        <v>97</v>
      </c>
      <c r="E77" s="20">
        <v>35</v>
      </c>
      <c r="F77" s="20">
        <v>29</v>
      </c>
      <c r="G77" s="25">
        <v>0</v>
      </c>
      <c r="H77" s="22">
        <f t="shared" si="1"/>
        <v>0</v>
      </c>
    </row>
    <row r="78" spans="1:8" ht="15" customHeight="1">
      <c r="A78" s="41">
        <v>1037</v>
      </c>
      <c r="B78" s="21"/>
      <c r="C78" s="21">
        <v>4213</v>
      </c>
      <c r="D78" s="21" t="s">
        <v>98</v>
      </c>
      <c r="E78" s="22">
        <v>0</v>
      </c>
      <c r="F78" s="22">
        <v>115</v>
      </c>
      <c r="G78" s="22">
        <v>115</v>
      </c>
      <c r="H78" s="22">
        <f t="shared" si="1"/>
        <v>100</v>
      </c>
    </row>
    <row r="79" spans="1:8" ht="15.75" customHeight="1">
      <c r="A79" s="37">
        <v>1046</v>
      </c>
      <c r="B79" s="18"/>
      <c r="C79" s="35">
        <v>4213</v>
      </c>
      <c r="D79" s="40" t="s">
        <v>99</v>
      </c>
      <c r="E79" s="20">
        <v>51</v>
      </c>
      <c r="F79" s="20">
        <v>51</v>
      </c>
      <c r="G79" s="25">
        <v>0</v>
      </c>
      <c r="H79" s="22">
        <f t="shared" si="1"/>
        <v>0</v>
      </c>
    </row>
    <row r="80" spans="1:8" ht="15.75" customHeight="1">
      <c r="A80" s="37">
        <v>1047</v>
      </c>
      <c r="B80" s="18"/>
      <c r="C80" s="35">
        <v>4213</v>
      </c>
      <c r="D80" s="40" t="s">
        <v>100</v>
      </c>
      <c r="E80" s="20">
        <v>321</v>
      </c>
      <c r="F80" s="20">
        <v>321</v>
      </c>
      <c r="G80" s="25">
        <v>0</v>
      </c>
      <c r="H80" s="22">
        <f t="shared" si="1"/>
        <v>0</v>
      </c>
    </row>
    <row r="81" spans="1:8" ht="15.75" customHeight="1">
      <c r="A81" s="37">
        <v>1047</v>
      </c>
      <c r="B81" s="18"/>
      <c r="C81" s="35">
        <v>4213</v>
      </c>
      <c r="D81" s="40" t="s">
        <v>101</v>
      </c>
      <c r="E81" s="20">
        <v>174</v>
      </c>
      <c r="F81" s="20">
        <v>174</v>
      </c>
      <c r="G81" s="25">
        <v>0</v>
      </c>
      <c r="H81" s="22">
        <f t="shared" si="1"/>
        <v>0</v>
      </c>
    </row>
    <row r="82" spans="1:8" ht="15.75">
      <c r="A82" s="37">
        <v>71024</v>
      </c>
      <c r="B82" s="18"/>
      <c r="C82" s="38">
        <v>4216</v>
      </c>
      <c r="D82" s="39" t="s">
        <v>102</v>
      </c>
      <c r="E82" s="22">
        <v>4300</v>
      </c>
      <c r="F82" s="22">
        <v>0</v>
      </c>
      <c r="G82" s="25">
        <v>0</v>
      </c>
      <c r="H82" s="22" t="e">
        <f t="shared" si="1"/>
        <v>#DIV/0!</v>
      </c>
    </row>
    <row r="83" spans="1:8" ht="15.75">
      <c r="A83" s="37">
        <v>81012</v>
      </c>
      <c r="B83" s="18"/>
      <c r="C83" s="38">
        <v>4216</v>
      </c>
      <c r="D83" s="39" t="s">
        <v>103</v>
      </c>
      <c r="E83" s="22">
        <v>2660</v>
      </c>
      <c r="F83" s="22">
        <v>45.9</v>
      </c>
      <c r="G83" s="25">
        <v>45.9</v>
      </c>
      <c r="H83" s="22">
        <f t="shared" si="1"/>
        <v>100</v>
      </c>
    </row>
    <row r="84" spans="1:8" ht="15.75">
      <c r="A84" s="37">
        <v>1036</v>
      </c>
      <c r="B84" s="18"/>
      <c r="C84" s="38">
        <v>4216</v>
      </c>
      <c r="D84" s="39" t="s">
        <v>104</v>
      </c>
      <c r="E84" s="22">
        <v>588</v>
      </c>
      <c r="F84" s="22">
        <v>492.8</v>
      </c>
      <c r="G84" s="25">
        <v>0</v>
      </c>
      <c r="H84" s="22">
        <f t="shared" si="1"/>
        <v>0</v>
      </c>
    </row>
    <row r="85" spans="1:8" ht="15.75">
      <c r="A85" s="37">
        <v>1045</v>
      </c>
      <c r="B85" s="18"/>
      <c r="C85" s="38">
        <v>4216</v>
      </c>
      <c r="D85" s="39" t="s">
        <v>105</v>
      </c>
      <c r="E85" s="22">
        <v>2125</v>
      </c>
      <c r="F85" s="22">
        <v>2125</v>
      </c>
      <c r="G85" s="25">
        <v>0</v>
      </c>
      <c r="H85" s="22">
        <f t="shared" si="1"/>
        <v>0</v>
      </c>
    </row>
    <row r="86" spans="1:8" ht="15.75">
      <c r="A86" s="37">
        <v>1046</v>
      </c>
      <c r="B86" s="18"/>
      <c r="C86" s="38">
        <v>4216</v>
      </c>
      <c r="D86" s="39" t="s">
        <v>106</v>
      </c>
      <c r="E86" s="22">
        <v>882</v>
      </c>
      <c r="F86" s="22">
        <v>882</v>
      </c>
      <c r="G86" s="25">
        <v>0</v>
      </c>
      <c r="H86" s="22">
        <f t="shared" si="1"/>
        <v>0</v>
      </c>
    </row>
    <row r="87" spans="1:8" ht="15.75">
      <c r="A87" s="37">
        <v>1047</v>
      </c>
      <c r="B87" s="18"/>
      <c r="C87" s="38">
        <v>4216</v>
      </c>
      <c r="D87" s="39" t="s">
        <v>107</v>
      </c>
      <c r="E87" s="22">
        <v>5464</v>
      </c>
      <c r="F87" s="22">
        <v>5464</v>
      </c>
      <c r="G87" s="25">
        <v>0</v>
      </c>
      <c r="H87" s="22">
        <f t="shared" si="1"/>
        <v>0</v>
      </c>
    </row>
    <row r="88" spans="1:8" ht="15.75">
      <c r="A88" s="37">
        <v>1048</v>
      </c>
      <c r="B88" s="18"/>
      <c r="C88" s="38">
        <v>4216</v>
      </c>
      <c r="D88" s="39" t="s">
        <v>108</v>
      </c>
      <c r="E88" s="22">
        <v>2959</v>
      </c>
      <c r="F88" s="22">
        <v>2959</v>
      </c>
      <c r="G88" s="25">
        <v>0</v>
      </c>
      <c r="H88" s="22">
        <f t="shared" si="1"/>
        <v>0</v>
      </c>
    </row>
    <row r="89" spans="1:8" ht="15" hidden="1">
      <c r="A89" s="42"/>
      <c r="B89" s="42"/>
      <c r="C89" s="38">
        <v>4216</v>
      </c>
      <c r="D89" s="43" t="s">
        <v>109</v>
      </c>
      <c r="E89" s="22"/>
      <c r="F89" s="22"/>
      <c r="G89" s="25"/>
      <c r="H89" s="22" t="e">
        <f t="shared" si="1"/>
        <v>#DIV/0!</v>
      </c>
    </row>
    <row r="90" spans="1:8" ht="15" hidden="1">
      <c r="A90" s="44"/>
      <c r="B90" s="45"/>
      <c r="C90" s="41">
        <v>4216</v>
      </c>
      <c r="D90" s="43" t="s">
        <v>109</v>
      </c>
      <c r="E90" s="25"/>
      <c r="F90" s="25"/>
      <c r="G90" s="25"/>
      <c r="H90" s="22" t="e">
        <f t="shared" si="1"/>
        <v>#DIV/0!</v>
      </c>
    </row>
    <row r="91" spans="1:8" ht="15">
      <c r="A91" s="44">
        <v>433</v>
      </c>
      <c r="B91" s="45"/>
      <c r="C91" s="41">
        <v>4222</v>
      </c>
      <c r="D91" s="43" t="s">
        <v>110</v>
      </c>
      <c r="E91" s="25">
        <v>0</v>
      </c>
      <c r="F91" s="25">
        <v>20</v>
      </c>
      <c r="G91" s="25">
        <v>20</v>
      </c>
      <c r="H91" s="22">
        <f t="shared" si="1"/>
        <v>100</v>
      </c>
    </row>
    <row r="92" spans="1:8" ht="15">
      <c r="A92" s="44"/>
      <c r="B92" s="45"/>
      <c r="C92" s="41">
        <v>4223</v>
      </c>
      <c r="D92" s="43" t="s">
        <v>111</v>
      </c>
      <c r="E92" s="25">
        <v>30000</v>
      </c>
      <c r="F92" s="25">
        <v>17995.4</v>
      </c>
      <c r="G92" s="25">
        <v>0</v>
      </c>
      <c r="H92" s="22">
        <f t="shared" si="1"/>
        <v>0</v>
      </c>
    </row>
    <row r="93" spans="1:8" ht="15" hidden="1">
      <c r="A93" s="44"/>
      <c r="B93" s="45">
        <v>2212</v>
      </c>
      <c r="C93" s="41">
        <v>2322</v>
      </c>
      <c r="D93" s="43" t="s">
        <v>112</v>
      </c>
      <c r="E93" s="25"/>
      <c r="F93" s="25"/>
      <c r="G93" s="25"/>
      <c r="H93" s="22" t="e">
        <f t="shared" si="1"/>
        <v>#DIV/0!</v>
      </c>
    </row>
    <row r="94" spans="1:8" ht="15">
      <c r="A94" s="44"/>
      <c r="B94" s="45"/>
      <c r="C94" s="41">
        <v>4223</v>
      </c>
      <c r="D94" s="43" t="s">
        <v>113</v>
      </c>
      <c r="E94" s="25">
        <v>0</v>
      </c>
      <c r="F94" s="25">
        <v>3541.3</v>
      </c>
      <c r="G94" s="25">
        <v>0</v>
      </c>
      <c r="H94" s="22">
        <f t="shared" si="1"/>
        <v>0</v>
      </c>
    </row>
    <row r="95" spans="1:8" ht="15">
      <c r="A95" s="44"/>
      <c r="B95" s="45">
        <v>2212</v>
      </c>
      <c r="C95" s="41">
        <v>2324</v>
      </c>
      <c r="D95" s="43" t="s">
        <v>114</v>
      </c>
      <c r="E95" s="25">
        <v>0</v>
      </c>
      <c r="F95" s="25">
        <v>0</v>
      </c>
      <c r="G95" s="25">
        <v>17.1</v>
      </c>
      <c r="H95" s="22" t="e">
        <f t="shared" si="1"/>
        <v>#DIV/0!</v>
      </c>
    </row>
    <row r="96" spans="1:8" ht="15" hidden="1">
      <c r="A96" s="44"/>
      <c r="B96" s="45">
        <v>2219</v>
      </c>
      <c r="C96" s="46">
        <v>2321</v>
      </c>
      <c r="D96" s="43" t="s">
        <v>115</v>
      </c>
      <c r="E96" s="25"/>
      <c r="F96" s="25"/>
      <c r="G96" s="25"/>
      <c r="H96" s="22" t="e">
        <f t="shared" si="1"/>
        <v>#DIV/0!</v>
      </c>
    </row>
    <row r="97" spans="1:8" ht="15" hidden="1">
      <c r="A97" s="44"/>
      <c r="B97" s="45">
        <v>2219</v>
      </c>
      <c r="C97" s="41">
        <v>2324</v>
      </c>
      <c r="D97" s="43" t="s">
        <v>116</v>
      </c>
      <c r="E97" s="25"/>
      <c r="F97" s="25"/>
      <c r="G97" s="25"/>
      <c r="H97" s="22" t="e">
        <f t="shared" si="1"/>
        <v>#DIV/0!</v>
      </c>
    </row>
    <row r="98" spans="1:8" ht="15">
      <c r="A98" s="44"/>
      <c r="B98" s="45">
        <v>2221</v>
      </c>
      <c r="C98" s="46">
        <v>2329</v>
      </c>
      <c r="D98" s="43" t="s">
        <v>117</v>
      </c>
      <c r="E98" s="25">
        <v>0</v>
      </c>
      <c r="F98" s="25">
        <v>0</v>
      </c>
      <c r="G98" s="25">
        <v>17.7</v>
      </c>
      <c r="H98" s="22" t="e">
        <f t="shared" si="1"/>
        <v>#DIV/0!</v>
      </c>
    </row>
    <row r="99" spans="1:8" ht="15">
      <c r="A99" s="47"/>
      <c r="B99" s="21">
        <v>3421</v>
      </c>
      <c r="C99" s="21">
        <v>2111</v>
      </c>
      <c r="D99" s="21" t="s">
        <v>118</v>
      </c>
      <c r="E99" s="22">
        <v>0</v>
      </c>
      <c r="F99" s="22">
        <v>0</v>
      </c>
      <c r="G99" s="22">
        <v>12.1</v>
      </c>
      <c r="H99" s="22" t="e">
        <f t="shared" si="1"/>
        <v>#DIV/0!</v>
      </c>
    </row>
    <row r="100" spans="1:8" ht="15">
      <c r="A100" s="48"/>
      <c r="B100" s="41">
        <v>3631</v>
      </c>
      <c r="C100" s="21">
        <v>2324</v>
      </c>
      <c r="D100" s="21" t="s">
        <v>119</v>
      </c>
      <c r="E100" s="22">
        <v>0</v>
      </c>
      <c r="F100" s="22">
        <v>1016.8</v>
      </c>
      <c r="G100" s="22">
        <v>1016.8</v>
      </c>
      <c r="H100" s="22">
        <f t="shared" si="1"/>
        <v>100</v>
      </c>
    </row>
    <row r="101" spans="1:8" ht="15">
      <c r="A101" s="44"/>
      <c r="B101" s="45">
        <v>3635</v>
      </c>
      <c r="C101" s="41">
        <v>3122</v>
      </c>
      <c r="D101" s="43" t="s">
        <v>120</v>
      </c>
      <c r="E101" s="25">
        <v>0</v>
      </c>
      <c r="F101" s="25">
        <v>0</v>
      </c>
      <c r="G101" s="25">
        <v>260.2</v>
      </c>
      <c r="H101" s="22" t="e">
        <f t="shared" si="1"/>
        <v>#DIV/0!</v>
      </c>
    </row>
    <row r="102" spans="1:8" ht="15">
      <c r="A102" s="48"/>
      <c r="B102" s="41">
        <v>3725</v>
      </c>
      <c r="C102" s="21">
        <v>2324</v>
      </c>
      <c r="D102" s="21" t="s">
        <v>121</v>
      </c>
      <c r="E102" s="22">
        <v>2000</v>
      </c>
      <c r="F102" s="22">
        <v>2000</v>
      </c>
      <c r="G102" s="22">
        <v>1556</v>
      </c>
      <c r="H102" s="22">
        <f t="shared" si="1"/>
        <v>77.8</v>
      </c>
    </row>
    <row r="103" spans="1:8" ht="15">
      <c r="A103" s="48"/>
      <c r="B103" s="41">
        <v>3745</v>
      </c>
      <c r="C103" s="21">
        <v>2324</v>
      </c>
      <c r="D103" s="21" t="s">
        <v>122</v>
      </c>
      <c r="E103" s="22">
        <v>0</v>
      </c>
      <c r="F103" s="22">
        <v>0</v>
      </c>
      <c r="G103" s="22">
        <v>46.6</v>
      </c>
      <c r="H103" s="22" t="e">
        <f t="shared" si="1"/>
        <v>#DIV/0!</v>
      </c>
    </row>
    <row r="104" spans="1:8" ht="15.75" thickBot="1">
      <c r="A104" s="49"/>
      <c r="B104" s="27"/>
      <c r="C104" s="27"/>
      <c r="D104" s="27"/>
      <c r="E104" s="28"/>
      <c r="F104" s="28"/>
      <c r="G104" s="28"/>
      <c r="H104" s="28"/>
    </row>
    <row r="105" spans="1:8" s="32" customFormat="1" ht="21.75" customHeight="1" thickBot="1" thickTop="1">
      <c r="A105" s="50"/>
      <c r="B105" s="29"/>
      <c r="C105" s="29"/>
      <c r="D105" s="30" t="s">
        <v>123</v>
      </c>
      <c r="E105" s="31">
        <f>SUM(E68:E104)</f>
        <v>51889</v>
      </c>
      <c r="F105" s="31">
        <f>SUM(F68:F104)</f>
        <v>43225.8</v>
      </c>
      <c r="G105" s="31">
        <f>SUM(G68:G104)</f>
        <v>5584.4</v>
      </c>
      <c r="H105" s="64">
        <f>(G105/F105)*100</f>
        <v>12.9191362565875</v>
      </c>
    </row>
    <row r="106" spans="1:8" ht="15" customHeight="1">
      <c r="A106" s="51"/>
      <c r="B106" s="51"/>
      <c r="C106" s="51"/>
      <c r="D106" s="14"/>
      <c r="E106" s="52"/>
      <c r="F106" s="52"/>
      <c r="G106" s="10"/>
      <c r="H106" s="10"/>
    </row>
    <row r="107" spans="1:8" ht="15" customHeight="1">
      <c r="A107" s="51"/>
      <c r="B107" s="51"/>
      <c r="C107" s="51"/>
      <c r="D107" s="14"/>
      <c r="E107" s="52"/>
      <c r="F107" s="52"/>
      <c r="G107" s="52"/>
      <c r="H107" s="52"/>
    </row>
    <row r="108" spans="1:8" ht="15" customHeight="1">
      <c r="A108" s="51"/>
      <c r="B108" s="51"/>
      <c r="C108" s="51"/>
      <c r="D108" s="14"/>
      <c r="E108" s="52"/>
      <c r="F108" s="52"/>
      <c r="G108" s="52"/>
      <c r="H108" s="52"/>
    </row>
    <row r="109" spans="1:8" ht="15" customHeight="1">
      <c r="A109" s="51"/>
      <c r="B109" s="51"/>
      <c r="C109" s="51"/>
      <c r="D109" s="14"/>
      <c r="E109" s="52"/>
      <c r="F109" s="52"/>
      <c r="G109" s="52"/>
      <c r="H109" s="52"/>
    </row>
    <row r="110" spans="1:8" ht="15" customHeight="1">
      <c r="A110" s="51"/>
      <c r="B110" s="51"/>
      <c r="C110" s="51"/>
      <c r="D110" s="14"/>
      <c r="E110" s="52"/>
      <c r="F110" s="52"/>
      <c r="G110" s="52"/>
      <c r="H110" s="52"/>
    </row>
    <row r="111" spans="1:8" ht="15" customHeight="1">
      <c r="A111" s="51"/>
      <c r="B111" s="51"/>
      <c r="C111" s="51"/>
      <c r="D111" s="14"/>
      <c r="E111" s="52"/>
      <c r="F111" s="52"/>
      <c r="G111" s="52"/>
      <c r="H111" s="52"/>
    </row>
    <row r="112" spans="1:8" ht="15" customHeight="1">
      <c r="A112" s="51"/>
      <c r="B112" s="51"/>
      <c r="C112" s="51"/>
      <c r="D112" s="14"/>
      <c r="E112" s="52"/>
      <c r="F112" s="52"/>
      <c r="G112" s="52"/>
      <c r="H112" s="52"/>
    </row>
    <row r="113" spans="1:8" ht="15" customHeight="1" thickBot="1">
      <c r="A113" s="51"/>
      <c r="B113" s="51"/>
      <c r="C113" s="51"/>
      <c r="D113" s="14"/>
      <c r="E113" s="52"/>
      <c r="F113" s="52"/>
      <c r="G113" s="52"/>
      <c r="H113" s="52"/>
    </row>
    <row r="114" spans="1:8" ht="15" customHeight="1" hidden="1" thickBot="1">
      <c r="A114" s="51"/>
      <c r="B114" s="51"/>
      <c r="C114" s="51"/>
      <c r="D114" s="14"/>
      <c r="E114" s="52"/>
      <c r="F114" s="52"/>
      <c r="G114" s="52"/>
      <c r="H114" s="52"/>
    </row>
    <row r="115" spans="1:8" ht="15.75">
      <c r="A115" s="207" t="s">
        <v>25</v>
      </c>
      <c r="B115" s="207" t="s">
        <v>26</v>
      </c>
      <c r="C115" s="207" t="s">
        <v>27</v>
      </c>
      <c r="D115" s="208" t="s">
        <v>28</v>
      </c>
      <c r="E115" s="209" t="s">
        <v>29</v>
      </c>
      <c r="F115" s="209" t="s">
        <v>29</v>
      </c>
      <c r="G115" s="209" t="s">
        <v>8</v>
      </c>
      <c r="H115" s="209" t="s">
        <v>30</v>
      </c>
    </row>
    <row r="116" spans="1:8" ht="15.75" customHeight="1" thickBot="1">
      <c r="A116" s="210"/>
      <c r="B116" s="210"/>
      <c r="C116" s="210"/>
      <c r="D116" s="211"/>
      <c r="E116" s="212" t="s">
        <v>31</v>
      </c>
      <c r="F116" s="212" t="s">
        <v>32</v>
      </c>
      <c r="G116" s="213" t="s">
        <v>33</v>
      </c>
      <c r="H116" s="212" t="s">
        <v>34</v>
      </c>
    </row>
    <row r="117" spans="1:8" ht="16.5" customHeight="1" thickTop="1">
      <c r="A117" s="34">
        <v>30</v>
      </c>
      <c r="B117" s="18"/>
      <c r="C117" s="18"/>
      <c r="D117" s="19" t="s">
        <v>124</v>
      </c>
      <c r="E117" s="53"/>
      <c r="F117" s="53"/>
      <c r="G117" s="53"/>
      <c r="H117" s="53"/>
    </row>
    <row r="118" spans="1:8" ht="15" customHeight="1">
      <c r="A118" s="54"/>
      <c r="B118" s="55"/>
      <c r="C118" s="55"/>
      <c r="D118" s="55"/>
      <c r="E118" s="22"/>
      <c r="F118" s="22"/>
      <c r="G118" s="22"/>
      <c r="H118" s="22"/>
    </row>
    <row r="119" spans="1:8" ht="15" hidden="1">
      <c r="A119" s="47"/>
      <c r="B119" s="21"/>
      <c r="C119" s="21">
        <v>1361</v>
      </c>
      <c r="D119" s="21" t="s">
        <v>37</v>
      </c>
      <c r="E119" s="56"/>
      <c r="F119" s="56"/>
      <c r="G119" s="56"/>
      <c r="H119" s="22" t="e">
        <f>(#REF!/F119)*100</f>
        <v>#REF!</v>
      </c>
    </row>
    <row r="120" spans="1:8" ht="15">
      <c r="A120" s="47"/>
      <c r="B120" s="21"/>
      <c r="C120" s="21">
        <v>2460</v>
      </c>
      <c r="D120" s="21" t="s">
        <v>125</v>
      </c>
      <c r="E120" s="56">
        <v>0</v>
      </c>
      <c r="F120" s="56">
        <v>15</v>
      </c>
      <c r="G120" s="56">
        <v>10</v>
      </c>
      <c r="H120" s="22">
        <f aca="true" t="shared" si="2" ref="H120:H149">(G120/F120)*100</f>
        <v>66.66666666666666</v>
      </c>
    </row>
    <row r="121" spans="1:8" ht="15" customHeight="1" hidden="1">
      <c r="A121" s="47">
        <v>98071</v>
      </c>
      <c r="B121" s="21"/>
      <c r="C121" s="21">
        <v>4111</v>
      </c>
      <c r="D121" s="21" t="s">
        <v>126</v>
      </c>
      <c r="E121" s="56"/>
      <c r="F121" s="56"/>
      <c r="G121" s="56"/>
      <c r="H121" s="22" t="e">
        <f t="shared" si="2"/>
        <v>#DIV/0!</v>
      </c>
    </row>
    <row r="122" spans="1:8" ht="15" customHeight="1" hidden="1">
      <c r="A122" s="47">
        <v>98187</v>
      </c>
      <c r="B122" s="21"/>
      <c r="C122" s="21">
        <v>4111</v>
      </c>
      <c r="D122" s="21" t="s">
        <v>127</v>
      </c>
      <c r="E122" s="56"/>
      <c r="F122" s="56"/>
      <c r="G122" s="56"/>
      <c r="H122" s="22" t="e">
        <f t="shared" si="2"/>
        <v>#DIV/0!</v>
      </c>
    </row>
    <row r="123" spans="1:8" ht="15" hidden="1">
      <c r="A123" s="47">
        <v>98007</v>
      </c>
      <c r="B123" s="21"/>
      <c r="C123" s="21">
        <v>4111</v>
      </c>
      <c r="D123" s="21" t="s">
        <v>128</v>
      </c>
      <c r="E123" s="22"/>
      <c r="F123" s="22"/>
      <c r="G123" s="22"/>
      <c r="H123" s="22" t="e">
        <f t="shared" si="2"/>
        <v>#DIV/0!</v>
      </c>
    </row>
    <row r="124" spans="1:8" ht="15">
      <c r="A124" s="47">
        <v>98008</v>
      </c>
      <c r="B124" s="21"/>
      <c r="C124" s="21">
        <v>4111</v>
      </c>
      <c r="D124" s="21" t="s">
        <v>129</v>
      </c>
      <c r="E124" s="22">
        <v>0</v>
      </c>
      <c r="F124" s="22">
        <v>469.4</v>
      </c>
      <c r="G124" s="22">
        <v>469.4</v>
      </c>
      <c r="H124" s="22">
        <f t="shared" si="2"/>
        <v>100</v>
      </c>
    </row>
    <row r="125" spans="1:8" ht="15" hidden="1">
      <c r="A125" s="47">
        <v>98193</v>
      </c>
      <c r="B125" s="21"/>
      <c r="C125" s="21">
        <v>4111</v>
      </c>
      <c r="D125" s="21" t="s">
        <v>130</v>
      </c>
      <c r="E125" s="20"/>
      <c r="F125" s="20"/>
      <c r="G125" s="20"/>
      <c r="H125" s="22" t="e">
        <f t="shared" si="2"/>
        <v>#DIV/0!</v>
      </c>
    </row>
    <row r="126" spans="1:8" ht="15" customHeight="1">
      <c r="A126" s="47">
        <v>13011</v>
      </c>
      <c r="B126" s="21"/>
      <c r="C126" s="21">
        <v>4111</v>
      </c>
      <c r="D126" s="21" t="s">
        <v>131</v>
      </c>
      <c r="E126" s="56">
        <v>0</v>
      </c>
      <c r="F126" s="56">
        <v>2653.7</v>
      </c>
      <c r="G126" s="56">
        <v>5307.5</v>
      </c>
      <c r="H126" s="22">
        <f t="shared" si="2"/>
        <v>200.0037683234729</v>
      </c>
    </row>
    <row r="127" spans="1:8" ht="14.25" customHeight="1" hidden="1">
      <c r="A127" s="47">
        <v>27003</v>
      </c>
      <c r="B127" s="21"/>
      <c r="C127" s="21">
        <v>4116</v>
      </c>
      <c r="D127" s="21" t="s">
        <v>132</v>
      </c>
      <c r="E127" s="56"/>
      <c r="F127" s="56"/>
      <c r="G127" s="56"/>
      <c r="H127" s="22" t="e">
        <f t="shared" si="2"/>
        <v>#DIV/0!</v>
      </c>
    </row>
    <row r="128" spans="1:8" ht="15" customHeight="1" hidden="1">
      <c r="A128" s="47"/>
      <c r="B128" s="21"/>
      <c r="C128" s="21">
        <v>4121</v>
      </c>
      <c r="D128" s="21" t="s">
        <v>133</v>
      </c>
      <c r="E128" s="56"/>
      <c r="F128" s="56"/>
      <c r="G128" s="56"/>
      <c r="H128" s="22" t="e">
        <f t="shared" si="2"/>
        <v>#DIV/0!</v>
      </c>
    </row>
    <row r="129" spans="1:8" ht="15" customHeight="1" hidden="1">
      <c r="A129" s="47"/>
      <c r="B129" s="21"/>
      <c r="C129" s="21">
        <v>4122</v>
      </c>
      <c r="D129" s="21" t="s">
        <v>134</v>
      </c>
      <c r="E129" s="56"/>
      <c r="F129" s="56"/>
      <c r="G129" s="56"/>
      <c r="H129" s="22" t="e">
        <f t="shared" si="2"/>
        <v>#DIV/0!</v>
      </c>
    </row>
    <row r="130" spans="1:8" ht="15" hidden="1">
      <c r="A130" s="47"/>
      <c r="B130" s="21"/>
      <c r="C130" s="21">
        <v>4132</v>
      </c>
      <c r="D130" s="21" t="s">
        <v>135</v>
      </c>
      <c r="E130" s="56"/>
      <c r="F130" s="56"/>
      <c r="G130" s="56"/>
      <c r="H130" s="22" t="e">
        <f t="shared" si="2"/>
        <v>#DIV/0!</v>
      </c>
    </row>
    <row r="131" spans="1:8" ht="15" hidden="1">
      <c r="A131" s="47"/>
      <c r="B131" s="21"/>
      <c r="C131" s="21">
        <v>4216</v>
      </c>
      <c r="D131" s="21" t="s">
        <v>136</v>
      </c>
      <c r="E131" s="56"/>
      <c r="F131" s="56"/>
      <c r="G131" s="56"/>
      <c r="H131" s="22" t="e">
        <f t="shared" si="2"/>
        <v>#DIV/0!</v>
      </c>
    </row>
    <row r="132" spans="1:8" ht="15" customHeight="1" hidden="1">
      <c r="A132" s="47"/>
      <c r="B132" s="21"/>
      <c r="C132" s="21">
        <v>4222</v>
      </c>
      <c r="D132" s="21" t="s">
        <v>137</v>
      </c>
      <c r="E132" s="56"/>
      <c r="F132" s="56"/>
      <c r="G132" s="56"/>
      <c r="H132" s="22" t="e">
        <f t="shared" si="2"/>
        <v>#DIV/0!</v>
      </c>
    </row>
    <row r="133" spans="1:8" ht="15" customHeight="1">
      <c r="A133" s="21">
        <v>14013</v>
      </c>
      <c r="B133" s="21"/>
      <c r="C133" s="21">
        <v>4116</v>
      </c>
      <c r="D133" s="21" t="s">
        <v>138</v>
      </c>
      <c r="E133" s="22">
        <v>0</v>
      </c>
      <c r="F133" s="22">
        <v>2916</v>
      </c>
      <c r="G133" s="22">
        <v>2916</v>
      </c>
      <c r="H133" s="22">
        <f t="shared" si="2"/>
        <v>100</v>
      </c>
    </row>
    <row r="134" spans="1:8" ht="15">
      <c r="A134" s="47"/>
      <c r="B134" s="21">
        <v>3341</v>
      </c>
      <c r="C134" s="21">
        <v>2111</v>
      </c>
      <c r="D134" s="21" t="s">
        <v>139</v>
      </c>
      <c r="E134" s="57">
        <v>3</v>
      </c>
      <c r="F134" s="57">
        <v>3</v>
      </c>
      <c r="G134" s="57">
        <v>3.1</v>
      </c>
      <c r="H134" s="22">
        <f t="shared" si="2"/>
        <v>103.33333333333334</v>
      </c>
    </row>
    <row r="135" spans="1:8" ht="15">
      <c r="A135" s="47"/>
      <c r="B135" s="21">
        <v>3349</v>
      </c>
      <c r="C135" s="21">
        <v>2111</v>
      </c>
      <c r="D135" s="21" t="s">
        <v>140</v>
      </c>
      <c r="E135" s="57">
        <v>900</v>
      </c>
      <c r="F135" s="57">
        <v>900</v>
      </c>
      <c r="G135" s="57">
        <v>660.9</v>
      </c>
      <c r="H135" s="22">
        <f t="shared" si="2"/>
        <v>73.43333333333332</v>
      </c>
    </row>
    <row r="136" spans="1:8" ht="15" hidden="1">
      <c r="A136" s="47"/>
      <c r="B136" s="21">
        <v>5512</v>
      </c>
      <c r="C136" s="21">
        <v>2132</v>
      </c>
      <c r="D136" s="21" t="s">
        <v>141</v>
      </c>
      <c r="E136" s="22"/>
      <c r="F136" s="22"/>
      <c r="G136" s="22"/>
      <c r="H136" s="22" t="e">
        <f t="shared" si="2"/>
        <v>#DIV/0!</v>
      </c>
    </row>
    <row r="137" spans="1:8" ht="15">
      <c r="A137" s="47"/>
      <c r="B137" s="21">
        <v>5512</v>
      </c>
      <c r="C137" s="21">
        <v>2324</v>
      </c>
      <c r="D137" s="21" t="s">
        <v>142</v>
      </c>
      <c r="E137" s="22">
        <v>0</v>
      </c>
      <c r="F137" s="22">
        <v>0</v>
      </c>
      <c r="G137" s="22">
        <v>20.2</v>
      </c>
      <c r="H137" s="22" t="e">
        <f t="shared" si="2"/>
        <v>#DIV/0!</v>
      </c>
    </row>
    <row r="138" spans="1:8" ht="15" hidden="1">
      <c r="A138" s="47"/>
      <c r="B138" s="21">
        <v>5512</v>
      </c>
      <c r="C138" s="21">
        <v>3113</v>
      </c>
      <c r="D138" s="21" t="s">
        <v>143</v>
      </c>
      <c r="E138" s="22"/>
      <c r="F138" s="22"/>
      <c r="G138" s="20"/>
      <c r="H138" s="22" t="e">
        <f t="shared" si="2"/>
        <v>#DIV/0!</v>
      </c>
    </row>
    <row r="139" spans="1:8" ht="15">
      <c r="A139" s="47"/>
      <c r="B139" s="21">
        <v>6171</v>
      </c>
      <c r="C139" s="21">
        <v>2111</v>
      </c>
      <c r="D139" s="21" t="s">
        <v>144</v>
      </c>
      <c r="E139" s="57">
        <v>150</v>
      </c>
      <c r="F139" s="57">
        <v>150</v>
      </c>
      <c r="G139" s="57">
        <v>135.6</v>
      </c>
      <c r="H139" s="22">
        <f t="shared" si="2"/>
        <v>90.39999999999999</v>
      </c>
    </row>
    <row r="140" spans="1:8" ht="15">
      <c r="A140" s="47"/>
      <c r="B140" s="21">
        <v>6171</v>
      </c>
      <c r="C140" s="21">
        <v>2132</v>
      </c>
      <c r="D140" s="21" t="s">
        <v>145</v>
      </c>
      <c r="E140" s="22">
        <v>60</v>
      </c>
      <c r="F140" s="22">
        <v>60</v>
      </c>
      <c r="G140" s="22">
        <v>60.6</v>
      </c>
      <c r="H140" s="22">
        <f t="shared" si="2"/>
        <v>101</v>
      </c>
    </row>
    <row r="141" spans="1:8" ht="15" hidden="1">
      <c r="A141" s="47"/>
      <c r="B141" s="21">
        <v>6171</v>
      </c>
      <c r="C141" s="21">
        <v>2210</v>
      </c>
      <c r="D141" s="21" t="s">
        <v>146</v>
      </c>
      <c r="E141" s="25"/>
      <c r="F141" s="25"/>
      <c r="G141" s="25"/>
      <c r="H141" s="22" t="e">
        <f t="shared" si="2"/>
        <v>#DIV/0!</v>
      </c>
    </row>
    <row r="142" spans="1:8" ht="15" hidden="1">
      <c r="A142" s="47"/>
      <c r="B142" s="21">
        <v>6171</v>
      </c>
      <c r="C142" s="21">
        <v>2310</v>
      </c>
      <c r="D142" s="21" t="s">
        <v>147</v>
      </c>
      <c r="E142" s="22"/>
      <c r="F142" s="22"/>
      <c r="G142" s="22"/>
      <c r="H142" s="22" t="e">
        <f t="shared" si="2"/>
        <v>#DIV/0!</v>
      </c>
    </row>
    <row r="143" spans="1:8" ht="15" hidden="1">
      <c r="A143" s="47"/>
      <c r="B143" s="21">
        <v>6171</v>
      </c>
      <c r="C143" s="21">
        <v>2310</v>
      </c>
      <c r="D143" s="21" t="s">
        <v>147</v>
      </c>
      <c r="E143" s="22"/>
      <c r="F143" s="22"/>
      <c r="G143" s="22"/>
      <c r="H143" s="22" t="e">
        <f t="shared" si="2"/>
        <v>#DIV/0!</v>
      </c>
    </row>
    <row r="144" spans="1:8" ht="15" hidden="1">
      <c r="A144" s="47"/>
      <c r="B144" s="21">
        <v>6171</v>
      </c>
      <c r="C144" s="21">
        <v>2133</v>
      </c>
      <c r="D144" s="21" t="s">
        <v>148</v>
      </c>
      <c r="E144" s="57"/>
      <c r="F144" s="57"/>
      <c r="G144" s="57"/>
      <c r="H144" s="22" t="e">
        <f t="shared" si="2"/>
        <v>#DIV/0!</v>
      </c>
    </row>
    <row r="145" spans="1:8" ht="15" hidden="1">
      <c r="A145" s="47"/>
      <c r="B145" s="21">
        <v>6171</v>
      </c>
      <c r="C145" s="21">
        <v>2310</v>
      </c>
      <c r="D145" s="21" t="s">
        <v>149</v>
      </c>
      <c r="E145" s="57"/>
      <c r="F145" s="57"/>
      <c r="G145" s="57"/>
      <c r="H145" s="22" t="e">
        <f t="shared" si="2"/>
        <v>#DIV/0!</v>
      </c>
    </row>
    <row r="146" spans="1:8" ht="15" hidden="1">
      <c r="A146" s="47"/>
      <c r="B146" s="21">
        <v>6171</v>
      </c>
      <c r="C146" s="21">
        <v>2322</v>
      </c>
      <c r="D146" s="21" t="s">
        <v>150</v>
      </c>
      <c r="E146" s="22"/>
      <c r="F146" s="22"/>
      <c r="G146" s="22"/>
      <c r="H146" s="22" t="e">
        <f t="shared" si="2"/>
        <v>#DIV/0!</v>
      </c>
    </row>
    <row r="147" spans="1:8" ht="15">
      <c r="A147" s="47"/>
      <c r="B147" s="21">
        <v>6171</v>
      </c>
      <c r="C147" s="21">
        <v>2324</v>
      </c>
      <c r="D147" s="21" t="s">
        <v>151</v>
      </c>
      <c r="E147" s="22">
        <v>50</v>
      </c>
      <c r="F147" s="22">
        <v>253.5</v>
      </c>
      <c r="G147" s="22">
        <v>992.4</v>
      </c>
      <c r="H147" s="22">
        <f t="shared" si="2"/>
        <v>391.47928994082844</v>
      </c>
    </row>
    <row r="148" spans="1:8" ht="15">
      <c r="A148" s="47"/>
      <c r="B148" s="21">
        <v>6171</v>
      </c>
      <c r="C148" s="21">
        <v>2329</v>
      </c>
      <c r="D148" s="21" t="s">
        <v>152</v>
      </c>
      <c r="E148" s="22">
        <v>0</v>
      </c>
      <c r="F148" s="22">
        <v>0</v>
      </c>
      <c r="G148" s="22">
        <v>5.6</v>
      </c>
      <c r="H148" s="22" t="e">
        <f t="shared" si="2"/>
        <v>#DIV/0!</v>
      </c>
    </row>
    <row r="149" spans="1:8" ht="15">
      <c r="A149" s="47"/>
      <c r="B149" s="21">
        <v>6409</v>
      </c>
      <c r="C149" s="21">
        <v>2328</v>
      </c>
      <c r="D149" s="21" t="s">
        <v>153</v>
      </c>
      <c r="E149" s="22">
        <v>0</v>
      </c>
      <c r="F149" s="22">
        <v>0</v>
      </c>
      <c r="G149" s="22">
        <v>0</v>
      </c>
      <c r="H149" s="22" t="e">
        <f t="shared" si="2"/>
        <v>#DIV/0!</v>
      </c>
    </row>
    <row r="150" spans="1:8" ht="15" hidden="1">
      <c r="A150" s="47"/>
      <c r="B150" s="21"/>
      <c r="C150" s="21"/>
      <c r="D150" s="21"/>
      <c r="E150" s="22">
        <v>0</v>
      </c>
      <c r="F150" s="22">
        <v>0</v>
      </c>
      <c r="G150" s="22"/>
      <c r="H150" s="22" t="e">
        <f>(#REF!/F150)*100</f>
        <v>#REF!</v>
      </c>
    </row>
    <row r="151" spans="1:8" ht="15.75" thickBot="1">
      <c r="A151" s="58"/>
      <c r="B151" s="59"/>
      <c r="C151" s="59"/>
      <c r="D151" s="59"/>
      <c r="E151" s="60"/>
      <c r="F151" s="60"/>
      <c r="G151" s="60"/>
      <c r="H151" s="60"/>
    </row>
    <row r="152" spans="1:8" s="32" customFormat="1" ht="21.75" customHeight="1" thickBot="1" thickTop="1">
      <c r="A152" s="61"/>
      <c r="B152" s="62"/>
      <c r="C152" s="62"/>
      <c r="D152" s="63" t="s">
        <v>154</v>
      </c>
      <c r="E152" s="64">
        <f>SUM(E119:E151)</f>
        <v>1163</v>
      </c>
      <c r="F152" s="64">
        <f>SUM(F119:F151)</f>
        <v>7420.6</v>
      </c>
      <c r="G152" s="64">
        <f>SUM(G118:G151)</f>
        <v>10581.300000000001</v>
      </c>
      <c r="H152" s="64">
        <f>(G152/F152)*100</f>
        <v>142.59359081475893</v>
      </c>
    </row>
    <row r="153" spans="1:8" ht="15" customHeight="1">
      <c r="A153" s="51"/>
      <c r="B153" s="51"/>
      <c r="C153" s="51"/>
      <c r="D153" s="14"/>
      <c r="E153" s="52"/>
      <c r="F153" s="52"/>
      <c r="G153" s="52"/>
      <c r="H153" s="52"/>
    </row>
    <row r="154" spans="1:8" ht="15" customHeight="1">
      <c r="A154" s="51"/>
      <c r="B154" s="51"/>
      <c r="C154" s="51"/>
      <c r="D154" s="14"/>
      <c r="E154" s="52"/>
      <c r="F154" s="52"/>
      <c r="G154" s="52"/>
      <c r="H154" s="52"/>
    </row>
    <row r="155" spans="1:8" ht="12.75" customHeight="1" hidden="1">
      <c r="A155" s="51"/>
      <c r="B155" s="51"/>
      <c r="C155" s="51"/>
      <c r="D155" s="14"/>
      <c r="E155" s="52"/>
      <c r="F155" s="52"/>
      <c r="G155" s="52"/>
      <c r="H155" s="52"/>
    </row>
    <row r="156" spans="1:8" ht="15" customHeight="1" thickBot="1">
      <c r="A156" s="51"/>
      <c r="B156" s="51"/>
      <c r="C156" s="51"/>
      <c r="D156" s="14"/>
      <c r="E156" s="52"/>
      <c r="F156" s="52"/>
      <c r="G156" s="52"/>
      <c r="H156" s="52"/>
    </row>
    <row r="157" spans="1:8" ht="15.75">
      <c r="A157" s="207" t="s">
        <v>25</v>
      </c>
      <c r="B157" s="207" t="s">
        <v>26</v>
      </c>
      <c r="C157" s="207" t="s">
        <v>27</v>
      </c>
      <c r="D157" s="208" t="s">
        <v>28</v>
      </c>
      <c r="E157" s="209" t="s">
        <v>29</v>
      </c>
      <c r="F157" s="209" t="s">
        <v>29</v>
      </c>
      <c r="G157" s="209" t="s">
        <v>8</v>
      </c>
      <c r="H157" s="209" t="s">
        <v>30</v>
      </c>
    </row>
    <row r="158" spans="1:8" ht="15.75" customHeight="1" thickBot="1">
      <c r="A158" s="210"/>
      <c r="B158" s="210"/>
      <c r="C158" s="210"/>
      <c r="D158" s="211"/>
      <c r="E158" s="212" t="s">
        <v>31</v>
      </c>
      <c r="F158" s="212" t="s">
        <v>32</v>
      </c>
      <c r="G158" s="213" t="s">
        <v>33</v>
      </c>
      <c r="H158" s="212" t="s">
        <v>34</v>
      </c>
    </row>
    <row r="159" spans="1:8" ht="16.5" customHeight="1" thickTop="1">
      <c r="A159" s="18">
        <v>50</v>
      </c>
      <c r="B159" s="18"/>
      <c r="C159" s="18"/>
      <c r="D159" s="19" t="s">
        <v>155</v>
      </c>
      <c r="E159" s="20"/>
      <c r="F159" s="20"/>
      <c r="G159" s="20"/>
      <c r="H159" s="20"/>
    </row>
    <row r="160" spans="1:8" ht="15" customHeight="1">
      <c r="A160" s="21"/>
      <c r="B160" s="21"/>
      <c r="C160" s="21"/>
      <c r="D160" s="55"/>
      <c r="E160" s="22"/>
      <c r="F160" s="22"/>
      <c r="G160" s="22"/>
      <c r="H160" s="22"/>
    </row>
    <row r="161" spans="1:8" ht="15" hidden="1">
      <c r="A161" s="21"/>
      <c r="B161" s="21"/>
      <c r="C161" s="21">
        <v>1361</v>
      </c>
      <c r="D161" s="21" t="s">
        <v>37</v>
      </c>
      <c r="E161" s="22"/>
      <c r="F161" s="22"/>
      <c r="G161" s="22"/>
      <c r="H161" s="22" t="e">
        <f>(#REF!/F161)*100</f>
        <v>#REF!</v>
      </c>
    </row>
    <row r="162" spans="1:8" ht="15">
      <c r="A162" s="21"/>
      <c r="B162" s="21"/>
      <c r="C162" s="21">
        <v>2451</v>
      </c>
      <c r="D162" s="21" t="s">
        <v>156</v>
      </c>
      <c r="E162" s="22">
        <v>4000</v>
      </c>
      <c r="F162" s="22">
        <v>4000</v>
      </c>
      <c r="G162" s="22">
        <v>4000</v>
      </c>
      <c r="H162" s="22">
        <f aca="true" t="shared" si="3" ref="H162:H178">(G162/F162)*100</f>
        <v>100</v>
      </c>
    </row>
    <row r="163" spans="1:8" ht="15">
      <c r="A163" s="21">
        <v>13010</v>
      </c>
      <c r="B163" s="21"/>
      <c r="C163" s="21">
        <v>4116</v>
      </c>
      <c r="D163" s="21" t="s">
        <v>157</v>
      </c>
      <c r="E163" s="22">
        <v>0</v>
      </c>
      <c r="F163" s="22">
        <v>196</v>
      </c>
      <c r="G163" s="22">
        <v>272</v>
      </c>
      <c r="H163" s="22">
        <f t="shared" si="3"/>
        <v>138.77551020408163</v>
      </c>
    </row>
    <row r="164" spans="1:8" ht="15" hidden="1">
      <c r="A164" s="21">
        <v>434</v>
      </c>
      <c r="B164" s="21"/>
      <c r="C164" s="21">
        <v>4122</v>
      </c>
      <c r="D164" s="21" t="s">
        <v>158</v>
      </c>
      <c r="E164" s="22"/>
      <c r="F164" s="22"/>
      <c r="G164" s="22"/>
      <c r="H164" s="22" t="e">
        <f t="shared" si="3"/>
        <v>#DIV/0!</v>
      </c>
    </row>
    <row r="165" spans="1:8" ht="15" customHeight="1">
      <c r="A165" s="21"/>
      <c r="B165" s="21">
        <v>3599</v>
      </c>
      <c r="C165" s="21">
        <v>2324</v>
      </c>
      <c r="D165" s="21" t="s">
        <v>159</v>
      </c>
      <c r="E165" s="22">
        <v>3</v>
      </c>
      <c r="F165" s="22">
        <v>3</v>
      </c>
      <c r="G165" s="22">
        <v>3.3</v>
      </c>
      <c r="H165" s="22">
        <f t="shared" si="3"/>
        <v>109.99999999999999</v>
      </c>
    </row>
    <row r="166" spans="1:8" ht="15" customHeight="1">
      <c r="A166" s="21"/>
      <c r="B166" s="21">
        <v>4171</v>
      </c>
      <c r="C166" s="21">
        <v>2229</v>
      </c>
      <c r="D166" s="21" t="s">
        <v>160</v>
      </c>
      <c r="E166" s="22">
        <v>0</v>
      </c>
      <c r="F166" s="22">
        <v>0</v>
      </c>
      <c r="G166" s="22">
        <v>13.6</v>
      </c>
      <c r="H166" s="22" t="e">
        <f t="shared" si="3"/>
        <v>#DIV/0!</v>
      </c>
    </row>
    <row r="167" spans="1:8" ht="15" customHeight="1">
      <c r="A167" s="21"/>
      <c r="B167" s="21">
        <v>4179</v>
      </c>
      <c r="C167" s="21">
        <v>2229</v>
      </c>
      <c r="D167" s="21" t="s">
        <v>161</v>
      </c>
      <c r="E167" s="22">
        <v>0</v>
      </c>
      <c r="F167" s="22">
        <v>0</v>
      </c>
      <c r="G167" s="22">
        <v>2</v>
      </c>
      <c r="H167" s="22" t="e">
        <f t="shared" si="3"/>
        <v>#DIV/0!</v>
      </c>
    </row>
    <row r="168" spans="1:8" ht="15">
      <c r="A168" s="21"/>
      <c r="B168" s="21">
        <v>4195</v>
      </c>
      <c r="C168" s="21">
        <v>2229</v>
      </c>
      <c r="D168" s="21" t="s">
        <v>162</v>
      </c>
      <c r="E168" s="22">
        <v>0</v>
      </c>
      <c r="F168" s="22">
        <v>0</v>
      </c>
      <c r="G168" s="22">
        <v>18</v>
      </c>
      <c r="H168" s="22" t="e">
        <f t="shared" si="3"/>
        <v>#DIV/0!</v>
      </c>
    </row>
    <row r="169" spans="1:8" ht="15" hidden="1">
      <c r="A169" s="21"/>
      <c r="B169" s="21">
        <v>4329</v>
      </c>
      <c r="C169" s="21">
        <v>2229</v>
      </c>
      <c r="D169" s="21" t="s">
        <v>163</v>
      </c>
      <c r="E169" s="22"/>
      <c r="F169" s="22"/>
      <c r="G169" s="22"/>
      <c r="H169" s="22" t="e">
        <f t="shared" si="3"/>
        <v>#DIV/0!</v>
      </c>
    </row>
    <row r="170" spans="1:8" ht="15" hidden="1">
      <c r="A170" s="21"/>
      <c r="B170" s="21">
        <v>4329</v>
      </c>
      <c r="C170" s="21">
        <v>2324</v>
      </c>
      <c r="D170" s="21" t="s">
        <v>164</v>
      </c>
      <c r="E170" s="22"/>
      <c r="F170" s="22"/>
      <c r="G170" s="22"/>
      <c r="H170" s="22" t="e">
        <f t="shared" si="3"/>
        <v>#DIV/0!</v>
      </c>
    </row>
    <row r="171" spans="1:8" ht="15" hidden="1">
      <c r="A171" s="21"/>
      <c r="B171" s="21">
        <v>4342</v>
      </c>
      <c r="C171" s="21">
        <v>2324</v>
      </c>
      <c r="D171" s="21" t="s">
        <v>165</v>
      </c>
      <c r="E171" s="22"/>
      <c r="F171" s="22"/>
      <c r="G171" s="22"/>
      <c r="H171" s="22" t="e">
        <f t="shared" si="3"/>
        <v>#DIV/0!</v>
      </c>
    </row>
    <row r="172" spans="1:8" ht="15" hidden="1">
      <c r="A172" s="21"/>
      <c r="B172" s="21">
        <v>4349</v>
      </c>
      <c r="C172" s="21">
        <v>2229</v>
      </c>
      <c r="D172" s="21" t="s">
        <v>166</v>
      </c>
      <c r="E172" s="22"/>
      <c r="F172" s="22"/>
      <c r="G172" s="22"/>
      <c r="H172" s="22" t="e">
        <f t="shared" si="3"/>
        <v>#DIV/0!</v>
      </c>
    </row>
    <row r="173" spans="1:8" ht="15" hidden="1">
      <c r="A173" s="21"/>
      <c r="B173" s="21">
        <v>4399</v>
      </c>
      <c r="C173" s="21">
        <v>2111</v>
      </c>
      <c r="D173" s="21" t="s">
        <v>167</v>
      </c>
      <c r="E173" s="22"/>
      <c r="F173" s="22"/>
      <c r="G173" s="22"/>
      <c r="H173" s="22" t="e">
        <f t="shared" si="3"/>
        <v>#DIV/0!</v>
      </c>
    </row>
    <row r="174" spans="1:8" ht="15" hidden="1">
      <c r="A174" s="21"/>
      <c r="B174" s="21">
        <v>6171</v>
      </c>
      <c r="C174" s="21">
        <v>2111</v>
      </c>
      <c r="D174" s="21" t="s">
        <v>168</v>
      </c>
      <c r="E174" s="22"/>
      <c r="F174" s="22"/>
      <c r="G174" s="22"/>
      <c r="H174" s="22" t="e">
        <f t="shared" si="3"/>
        <v>#DIV/0!</v>
      </c>
    </row>
    <row r="175" spans="1:8" ht="15">
      <c r="A175" s="21"/>
      <c r="B175" s="21">
        <v>4379</v>
      </c>
      <c r="C175" s="21">
        <v>2212</v>
      </c>
      <c r="D175" s="21" t="s">
        <v>169</v>
      </c>
      <c r="E175" s="22">
        <v>10</v>
      </c>
      <c r="F175" s="22">
        <v>10</v>
      </c>
      <c r="G175" s="22">
        <v>2.9</v>
      </c>
      <c r="H175" s="22">
        <f t="shared" si="3"/>
        <v>28.999999999999996</v>
      </c>
    </row>
    <row r="176" spans="1:8" ht="15">
      <c r="A176" s="24"/>
      <c r="B176" s="24">
        <v>4399</v>
      </c>
      <c r="C176" s="24">
        <v>2324</v>
      </c>
      <c r="D176" s="24" t="s">
        <v>170</v>
      </c>
      <c r="E176" s="25">
        <v>0</v>
      </c>
      <c r="F176" s="25">
        <v>0</v>
      </c>
      <c r="G176" s="22">
        <v>10</v>
      </c>
      <c r="H176" s="22" t="e">
        <f t="shared" si="3"/>
        <v>#DIV/0!</v>
      </c>
    </row>
    <row r="177" spans="1:8" ht="15" hidden="1">
      <c r="A177" s="21"/>
      <c r="B177" s="21">
        <v>6171</v>
      </c>
      <c r="C177" s="21">
        <v>2212</v>
      </c>
      <c r="D177" s="21" t="s">
        <v>169</v>
      </c>
      <c r="E177" s="22"/>
      <c r="F177" s="22"/>
      <c r="G177" s="22"/>
      <c r="H177" s="22" t="e">
        <f t="shared" si="3"/>
        <v>#DIV/0!</v>
      </c>
    </row>
    <row r="178" spans="1:8" ht="15">
      <c r="A178" s="24"/>
      <c r="B178" s="21">
        <v>6171</v>
      </c>
      <c r="C178" s="21">
        <v>2324</v>
      </c>
      <c r="D178" s="21" t="s">
        <v>171</v>
      </c>
      <c r="E178" s="22">
        <v>8</v>
      </c>
      <c r="F178" s="22">
        <v>8</v>
      </c>
      <c r="G178" s="22">
        <v>1</v>
      </c>
      <c r="H178" s="22">
        <f t="shared" si="3"/>
        <v>12.5</v>
      </c>
    </row>
    <row r="179" spans="1:8" ht="15" customHeight="1" thickBot="1">
      <c r="A179" s="59"/>
      <c r="B179" s="59"/>
      <c r="C179" s="59"/>
      <c r="D179" s="59"/>
      <c r="E179" s="60"/>
      <c r="F179" s="60"/>
      <c r="G179" s="60"/>
      <c r="H179" s="22"/>
    </row>
    <row r="180" spans="1:8" s="32" customFormat="1" ht="21.75" customHeight="1" thickBot="1" thickTop="1">
      <c r="A180" s="62"/>
      <c r="B180" s="62"/>
      <c r="C180" s="62"/>
      <c r="D180" s="63" t="s">
        <v>172</v>
      </c>
      <c r="E180" s="64">
        <f>SUM(E160:E179)</f>
        <v>4021</v>
      </c>
      <c r="F180" s="64">
        <f>SUM(F160:F179)</f>
        <v>4217</v>
      </c>
      <c r="G180" s="64">
        <f>SUM(G160:G179)</f>
        <v>4322.8</v>
      </c>
      <c r="H180" s="64">
        <f>(G180/F180)*100</f>
        <v>102.50889257766185</v>
      </c>
    </row>
    <row r="181" spans="1:8" ht="15" customHeight="1">
      <c r="A181" s="51"/>
      <c r="B181" s="32"/>
      <c r="C181" s="51"/>
      <c r="D181" s="65"/>
      <c r="E181" s="52"/>
      <c r="F181" s="52"/>
      <c r="G181" s="10"/>
      <c r="H181" s="10"/>
    </row>
    <row r="182" spans="1:8" ht="3.75" customHeight="1">
      <c r="A182" s="32"/>
      <c r="B182" s="32"/>
      <c r="C182" s="32"/>
      <c r="D182" s="32"/>
      <c r="E182" s="33"/>
      <c r="F182" s="33"/>
      <c r="G182" s="33"/>
      <c r="H182" s="33"/>
    </row>
    <row r="183" spans="1:8" ht="14.25" customHeight="1" thickBot="1">
      <c r="A183" s="32"/>
      <c r="B183" s="32"/>
      <c r="C183" s="32"/>
      <c r="D183" s="32"/>
      <c r="E183" s="33"/>
      <c r="F183" s="33"/>
      <c r="G183" s="33"/>
      <c r="H183" s="33"/>
    </row>
    <row r="184" spans="1:8" ht="13.5" customHeight="1" hidden="1">
      <c r="A184" s="32"/>
      <c r="B184" s="32"/>
      <c r="C184" s="32"/>
      <c r="D184" s="32"/>
      <c r="E184" s="33"/>
      <c r="F184" s="33"/>
      <c r="G184" s="33"/>
      <c r="H184" s="33"/>
    </row>
    <row r="185" spans="1:8" ht="13.5" customHeight="1" hidden="1">
      <c r="A185" s="32"/>
      <c r="B185" s="32"/>
      <c r="C185" s="32"/>
      <c r="D185" s="32"/>
      <c r="E185" s="33"/>
      <c r="F185" s="33"/>
      <c r="G185" s="33"/>
      <c r="H185" s="33"/>
    </row>
    <row r="186" spans="1:8" ht="13.5" customHeight="1" hidden="1" thickBot="1">
      <c r="A186" s="32"/>
      <c r="B186" s="32"/>
      <c r="C186" s="32"/>
      <c r="D186" s="32"/>
      <c r="E186" s="33"/>
      <c r="F186" s="33"/>
      <c r="G186" s="33"/>
      <c r="H186" s="33"/>
    </row>
    <row r="187" spans="1:8" ht="15.75">
      <c r="A187" s="207" t="s">
        <v>25</v>
      </c>
      <c r="B187" s="207" t="s">
        <v>26</v>
      </c>
      <c r="C187" s="207" t="s">
        <v>27</v>
      </c>
      <c r="D187" s="208" t="s">
        <v>28</v>
      </c>
      <c r="E187" s="209" t="s">
        <v>29</v>
      </c>
      <c r="F187" s="209" t="s">
        <v>29</v>
      </c>
      <c r="G187" s="209" t="s">
        <v>8</v>
      </c>
      <c r="H187" s="209" t="s">
        <v>30</v>
      </c>
    </row>
    <row r="188" spans="1:8" ht="15.75" customHeight="1" thickBot="1">
      <c r="A188" s="210"/>
      <c r="B188" s="210"/>
      <c r="C188" s="210"/>
      <c r="D188" s="211"/>
      <c r="E188" s="212" t="s">
        <v>31</v>
      </c>
      <c r="F188" s="212" t="s">
        <v>32</v>
      </c>
      <c r="G188" s="213" t="s">
        <v>33</v>
      </c>
      <c r="H188" s="212" t="s">
        <v>34</v>
      </c>
    </row>
    <row r="189" spans="1:8" ht="15.75" customHeight="1" thickTop="1">
      <c r="A189" s="18">
        <v>60</v>
      </c>
      <c r="B189" s="18"/>
      <c r="C189" s="18"/>
      <c r="D189" s="19" t="s">
        <v>173</v>
      </c>
      <c r="E189" s="20"/>
      <c r="F189" s="20"/>
      <c r="G189" s="20"/>
      <c r="H189" s="20"/>
    </row>
    <row r="190" spans="1:8" ht="14.25" customHeight="1">
      <c r="A190" s="55"/>
      <c r="B190" s="55"/>
      <c r="C190" s="55"/>
      <c r="D190" s="55"/>
      <c r="E190" s="22"/>
      <c r="F190" s="22"/>
      <c r="G190" s="22"/>
      <c r="H190" s="22"/>
    </row>
    <row r="191" spans="1:8" ht="15" hidden="1">
      <c r="A191" s="21"/>
      <c r="B191" s="21"/>
      <c r="C191" s="21">
        <v>1332</v>
      </c>
      <c r="D191" s="21" t="s">
        <v>174</v>
      </c>
      <c r="E191" s="22"/>
      <c r="F191" s="22"/>
      <c r="G191" s="22"/>
      <c r="H191" s="22" t="e">
        <f>(#REF!/F191)*100</f>
        <v>#REF!</v>
      </c>
    </row>
    <row r="192" spans="1:8" ht="15">
      <c r="A192" s="21"/>
      <c r="B192" s="21"/>
      <c r="C192" s="21">
        <v>1333</v>
      </c>
      <c r="D192" s="21" t="s">
        <v>175</v>
      </c>
      <c r="E192" s="22">
        <v>500</v>
      </c>
      <c r="F192" s="22">
        <v>500</v>
      </c>
      <c r="G192" s="22">
        <v>524.2</v>
      </c>
      <c r="H192" s="22">
        <f aca="true" t="shared" si="4" ref="H192:H204">(G192/F192)*100</f>
        <v>104.84</v>
      </c>
    </row>
    <row r="193" spans="1:8" ht="15">
      <c r="A193" s="21"/>
      <c r="B193" s="21"/>
      <c r="C193" s="21">
        <v>1334</v>
      </c>
      <c r="D193" s="21" t="s">
        <v>176</v>
      </c>
      <c r="E193" s="22">
        <v>50</v>
      </c>
      <c r="F193" s="22">
        <v>50</v>
      </c>
      <c r="G193" s="22">
        <v>37.5</v>
      </c>
      <c r="H193" s="22">
        <f t="shared" si="4"/>
        <v>75</v>
      </c>
    </row>
    <row r="194" spans="1:8" ht="15">
      <c r="A194" s="21"/>
      <c r="B194" s="21"/>
      <c r="C194" s="21">
        <v>1335</v>
      </c>
      <c r="D194" s="21" t="s">
        <v>177</v>
      </c>
      <c r="E194" s="22">
        <v>6</v>
      </c>
      <c r="F194" s="22">
        <v>6</v>
      </c>
      <c r="G194" s="22">
        <v>13</v>
      </c>
      <c r="H194" s="22">
        <f t="shared" si="4"/>
        <v>216.66666666666666</v>
      </c>
    </row>
    <row r="195" spans="1:8" ht="15">
      <c r="A195" s="21"/>
      <c r="B195" s="21"/>
      <c r="C195" s="21">
        <v>1361</v>
      </c>
      <c r="D195" s="21" t="s">
        <v>37</v>
      </c>
      <c r="E195" s="22">
        <v>240</v>
      </c>
      <c r="F195" s="22">
        <v>240</v>
      </c>
      <c r="G195" s="22">
        <v>237</v>
      </c>
      <c r="H195" s="22">
        <f t="shared" si="4"/>
        <v>98.75</v>
      </c>
    </row>
    <row r="196" spans="1:8" ht="15" customHeight="1">
      <c r="A196" s="21">
        <v>29004</v>
      </c>
      <c r="B196" s="21"/>
      <c r="C196" s="21">
        <v>4116</v>
      </c>
      <c r="D196" s="21" t="s">
        <v>178</v>
      </c>
      <c r="E196" s="22">
        <v>0</v>
      </c>
      <c r="F196" s="22">
        <v>68.3</v>
      </c>
      <c r="G196" s="22">
        <v>68.3</v>
      </c>
      <c r="H196" s="22">
        <f t="shared" si="4"/>
        <v>100</v>
      </c>
    </row>
    <row r="197" spans="1:8" ht="15">
      <c r="A197" s="21">
        <v>29008</v>
      </c>
      <c r="B197" s="21"/>
      <c r="C197" s="21">
        <v>4116</v>
      </c>
      <c r="D197" s="21" t="s">
        <v>179</v>
      </c>
      <c r="E197" s="22">
        <v>0</v>
      </c>
      <c r="F197" s="22">
        <v>70.3</v>
      </c>
      <c r="G197" s="22">
        <v>70.2</v>
      </c>
      <c r="H197" s="22">
        <f t="shared" si="4"/>
        <v>99.85775248933145</v>
      </c>
    </row>
    <row r="198" spans="1:8" ht="15" hidden="1">
      <c r="A198" s="21">
        <v>29516</v>
      </c>
      <c r="B198" s="21"/>
      <c r="C198" s="21">
        <v>4216</v>
      </c>
      <c r="D198" s="21" t="s">
        <v>180</v>
      </c>
      <c r="E198" s="22"/>
      <c r="F198" s="22"/>
      <c r="G198" s="22"/>
      <c r="H198" s="22" t="e">
        <f t="shared" si="4"/>
        <v>#DIV/0!</v>
      </c>
    </row>
    <row r="199" spans="1:8" ht="15">
      <c r="A199" s="24"/>
      <c r="B199" s="24"/>
      <c r="C199" s="24">
        <v>4122</v>
      </c>
      <c r="D199" s="24" t="s">
        <v>181</v>
      </c>
      <c r="E199" s="25">
        <v>0</v>
      </c>
      <c r="F199" s="25">
        <v>20</v>
      </c>
      <c r="G199" s="25">
        <v>20</v>
      </c>
      <c r="H199" s="22">
        <f t="shared" si="4"/>
        <v>100</v>
      </c>
    </row>
    <row r="200" spans="1:8" ht="15">
      <c r="A200" s="24"/>
      <c r="B200" s="24">
        <v>1014</v>
      </c>
      <c r="C200" s="24">
        <v>2132</v>
      </c>
      <c r="D200" s="24" t="s">
        <v>182</v>
      </c>
      <c r="E200" s="25">
        <v>24</v>
      </c>
      <c r="F200" s="25">
        <v>24</v>
      </c>
      <c r="G200" s="25">
        <v>18.6</v>
      </c>
      <c r="H200" s="22">
        <f t="shared" si="4"/>
        <v>77.5</v>
      </c>
    </row>
    <row r="201" spans="1:8" ht="15">
      <c r="A201" s="24"/>
      <c r="B201" s="24">
        <v>2119</v>
      </c>
      <c r="C201" s="24">
        <v>2343</v>
      </c>
      <c r="D201" s="24" t="s">
        <v>183</v>
      </c>
      <c r="E201" s="25">
        <v>12000</v>
      </c>
      <c r="F201" s="25">
        <v>12000</v>
      </c>
      <c r="G201" s="25">
        <v>11860.4</v>
      </c>
      <c r="H201" s="22">
        <f t="shared" si="4"/>
        <v>98.83666666666666</v>
      </c>
    </row>
    <row r="202" spans="1:8" ht="15">
      <c r="A202" s="24"/>
      <c r="B202" s="24">
        <v>3749</v>
      </c>
      <c r="C202" s="24">
        <v>2321</v>
      </c>
      <c r="D202" s="24" t="s">
        <v>184</v>
      </c>
      <c r="E202" s="25">
        <v>5</v>
      </c>
      <c r="F202" s="25">
        <v>5</v>
      </c>
      <c r="G202" s="25">
        <v>0</v>
      </c>
      <c r="H202" s="22">
        <f t="shared" si="4"/>
        <v>0</v>
      </c>
    </row>
    <row r="203" spans="1:8" ht="15">
      <c r="A203" s="21"/>
      <c r="B203" s="21">
        <v>6171</v>
      </c>
      <c r="C203" s="21">
        <v>2212</v>
      </c>
      <c r="D203" s="21" t="s">
        <v>146</v>
      </c>
      <c r="E203" s="22">
        <v>60</v>
      </c>
      <c r="F203" s="22">
        <v>60</v>
      </c>
      <c r="G203" s="22">
        <v>127.4</v>
      </c>
      <c r="H203" s="22">
        <f t="shared" si="4"/>
        <v>212.33333333333334</v>
      </c>
    </row>
    <row r="204" spans="1:8" ht="15">
      <c r="A204" s="21"/>
      <c r="B204" s="21">
        <v>6171</v>
      </c>
      <c r="C204" s="21">
        <v>2324</v>
      </c>
      <c r="D204" s="21" t="s">
        <v>185</v>
      </c>
      <c r="E204" s="22">
        <v>5</v>
      </c>
      <c r="F204" s="22">
        <v>5</v>
      </c>
      <c r="G204" s="22">
        <v>7</v>
      </c>
      <c r="H204" s="22">
        <f t="shared" si="4"/>
        <v>140</v>
      </c>
    </row>
    <row r="205" spans="1:8" ht="15" hidden="1">
      <c r="A205" s="21"/>
      <c r="B205" s="21">
        <v>6171</v>
      </c>
      <c r="C205" s="21">
        <v>2329</v>
      </c>
      <c r="D205" s="21" t="s">
        <v>70</v>
      </c>
      <c r="E205" s="22"/>
      <c r="F205" s="22"/>
      <c r="G205" s="22"/>
      <c r="H205" s="22"/>
    </row>
    <row r="206" spans="1:8" ht="15" customHeight="1" thickBot="1">
      <c r="A206" s="59"/>
      <c r="B206" s="59"/>
      <c r="C206" s="59"/>
      <c r="D206" s="59"/>
      <c r="E206" s="60"/>
      <c r="F206" s="60"/>
      <c r="G206" s="60"/>
      <c r="H206" s="60"/>
    </row>
    <row r="207" spans="1:8" s="32" customFormat="1" ht="21.75" customHeight="1" thickBot="1" thickTop="1">
      <c r="A207" s="62"/>
      <c r="B207" s="62"/>
      <c r="C207" s="62"/>
      <c r="D207" s="63" t="s">
        <v>186</v>
      </c>
      <c r="E207" s="64">
        <f>SUM(E190:E206)</f>
        <v>12890</v>
      </c>
      <c r="F207" s="64">
        <f>SUM(F190:F206)</f>
        <v>13048.6</v>
      </c>
      <c r="G207" s="64">
        <f>SUM(G190:G206)</f>
        <v>12983.599999999999</v>
      </c>
      <c r="H207" s="64">
        <f>(G207/F207)*100</f>
        <v>99.50186226874912</v>
      </c>
    </row>
    <row r="208" spans="1:8" ht="14.25" customHeight="1">
      <c r="A208" s="51"/>
      <c r="B208" s="51"/>
      <c r="C208" s="51"/>
      <c r="D208" s="14"/>
      <c r="E208" s="52"/>
      <c r="F208" s="52"/>
      <c r="G208" s="52"/>
      <c r="H208" s="52"/>
    </row>
    <row r="209" spans="1:8" ht="14.25" customHeight="1" hidden="1">
      <c r="A209" s="51"/>
      <c r="B209" s="51"/>
      <c r="C209" s="51"/>
      <c r="D209" s="14"/>
      <c r="E209" s="52"/>
      <c r="F209" s="52"/>
      <c r="G209" s="52"/>
      <c r="H209" s="52"/>
    </row>
    <row r="210" spans="1:8" ht="14.25" customHeight="1" hidden="1">
      <c r="A210" s="51"/>
      <c r="B210" s="51"/>
      <c r="C210" s="51"/>
      <c r="D210" s="14"/>
      <c r="E210" s="52"/>
      <c r="F210" s="52"/>
      <c r="G210" s="52"/>
      <c r="H210" s="52"/>
    </row>
    <row r="211" spans="1:8" ht="14.25" customHeight="1" hidden="1">
      <c r="A211" s="51"/>
      <c r="B211" s="51"/>
      <c r="C211" s="51"/>
      <c r="D211" s="14"/>
      <c r="E211" s="52"/>
      <c r="F211" s="52"/>
      <c r="G211" s="52"/>
      <c r="H211" s="52"/>
    </row>
    <row r="212" spans="1:8" ht="4.5" customHeight="1">
      <c r="A212" s="51"/>
      <c r="B212" s="51"/>
      <c r="C212" s="51"/>
      <c r="D212" s="14"/>
      <c r="E212" s="52"/>
      <c r="F212" s="52"/>
      <c r="G212" s="52"/>
      <c r="H212" s="52"/>
    </row>
    <row r="213" spans="1:8" ht="15" customHeight="1" thickBot="1">
      <c r="A213" s="51"/>
      <c r="B213" s="51"/>
      <c r="C213" s="51"/>
      <c r="D213" s="14"/>
      <c r="E213" s="52"/>
      <c r="F213" s="52"/>
      <c r="G213" s="52"/>
      <c r="H213" s="52"/>
    </row>
    <row r="214" spans="1:8" ht="15.75">
      <c r="A214" s="207" t="s">
        <v>25</v>
      </c>
      <c r="B214" s="207" t="s">
        <v>26</v>
      </c>
      <c r="C214" s="207" t="s">
        <v>27</v>
      </c>
      <c r="D214" s="208" t="s">
        <v>28</v>
      </c>
      <c r="E214" s="209" t="s">
        <v>29</v>
      </c>
      <c r="F214" s="209" t="s">
        <v>29</v>
      </c>
      <c r="G214" s="209" t="s">
        <v>8</v>
      </c>
      <c r="H214" s="209" t="s">
        <v>30</v>
      </c>
    </row>
    <row r="215" spans="1:8" ht="15.75" customHeight="1" thickBot="1">
      <c r="A215" s="210"/>
      <c r="B215" s="210"/>
      <c r="C215" s="210"/>
      <c r="D215" s="211"/>
      <c r="E215" s="212" t="s">
        <v>31</v>
      </c>
      <c r="F215" s="212" t="s">
        <v>32</v>
      </c>
      <c r="G215" s="213" t="s">
        <v>33</v>
      </c>
      <c r="H215" s="212" t="s">
        <v>34</v>
      </c>
    </row>
    <row r="216" spans="1:8" ht="15.75" customHeight="1" thickTop="1">
      <c r="A216" s="18">
        <v>80</v>
      </c>
      <c r="B216" s="18"/>
      <c r="C216" s="18"/>
      <c r="D216" s="19" t="s">
        <v>187</v>
      </c>
      <c r="E216" s="20"/>
      <c r="F216" s="20"/>
      <c r="G216" s="20"/>
      <c r="H216" s="20"/>
    </row>
    <row r="217" spans="1:8" ht="15">
      <c r="A217" s="21"/>
      <c r="B217" s="21"/>
      <c r="C217" s="21"/>
      <c r="D217" s="21"/>
      <c r="E217" s="22"/>
      <c r="F217" s="22"/>
      <c r="G217" s="22"/>
      <c r="H217" s="22"/>
    </row>
    <row r="218" spans="1:8" ht="15">
      <c r="A218" s="21"/>
      <c r="B218" s="21"/>
      <c r="C218" s="21">
        <v>1353</v>
      </c>
      <c r="D218" s="21" t="s">
        <v>188</v>
      </c>
      <c r="E218" s="22">
        <v>750</v>
      </c>
      <c r="F218" s="22">
        <v>750</v>
      </c>
      <c r="G218" s="22">
        <v>628.3</v>
      </c>
      <c r="H218" s="22">
        <f aca="true" t="shared" si="5" ref="H218:H228">(G218/F218)*100</f>
        <v>83.77333333333333</v>
      </c>
    </row>
    <row r="219" spans="1:8" ht="15">
      <c r="A219" s="21"/>
      <c r="B219" s="21"/>
      <c r="C219" s="21">
        <v>1359</v>
      </c>
      <c r="D219" s="21" t="s">
        <v>189</v>
      </c>
      <c r="E219" s="22">
        <v>0</v>
      </c>
      <c r="F219" s="22">
        <v>0</v>
      </c>
      <c r="G219" s="22">
        <v>-112</v>
      </c>
      <c r="H219" s="22" t="e">
        <f t="shared" si="5"/>
        <v>#DIV/0!</v>
      </c>
    </row>
    <row r="220" spans="1:8" ht="15">
      <c r="A220" s="21"/>
      <c r="B220" s="21"/>
      <c r="C220" s="21">
        <v>1361</v>
      </c>
      <c r="D220" s="21" t="s">
        <v>37</v>
      </c>
      <c r="E220" s="22">
        <v>7000</v>
      </c>
      <c r="F220" s="22">
        <v>7000</v>
      </c>
      <c r="G220" s="22">
        <v>5774.2</v>
      </c>
      <c r="H220" s="22">
        <f t="shared" si="5"/>
        <v>82.48857142857142</v>
      </c>
    </row>
    <row r="221" spans="1:8" ht="15">
      <c r="A221" s="21"/>
      <c r="B221" s="21"/>
      <c r="C221" s="21">
        <v>4121</v>
      </c>
      <c r="D221" s="21" t="s">
        <v>190</v>
      </c>
      <c r="E221" s="25">
        <v>250</v>
      </c>
      <c r="F221" s="25">
        <v>250</v>
      </c>
      <c r="G221" s="25">
        <v>206</v>
      </c>
      <c r="H221" s="22">
        <f t="shared" si="5"/>
        <v>82.39999999999999</v>
      </c>
    </row>
    <row r="222" spans="1:8" ht="15" hidden="1">
      <c r="A222" s="21">
        <v>222</v>
      </c>
      <c r="B222" s="21"/>
      <c r="C222" s="21">
        <v>4122</v>
      </c>
      <c r="D222" s="21" t="s">
        <v>191</v>
      </c>
      <c r="E222" s="25"/>
      <c r="F222" s="25"/>
      <c r="G222" s="25"/>
      <c r="H222" s="22" t="e">
        <f t="shared" si="5"/>
        <v>#DIV/0!</v>
      </c>
    </row>
    <row r="223" spans="1:8" ht="15" hidden="1">
      <c r="A223" s="21"/>
      <c r="B223" s="21">
        <v>2169</v>
      </c>
      <c r="C223" s="21">
        <v>2212</v>
      </c>
      <c r="D223" s="21" t="s">
        <v>192</v>
      </c>
      <c r="E223" s="25"/>
      <c r="F223" s="25"/>
      <c r="G223" s="25"/>
      <c r="H223" s="22" t="e">
        <f t="shared" si="5"/>
        <v>#DIV/0!</v>
      </c>
    </row>
    <row r="224" spans="1:8" ht="15">
      <c r="A224" s="21"/>
      <c r="B224" s="21">
        <v>2219</v>
      </c>
      <c r="C224" s="21">
        <v>2324</v>
      </c>
      <c r="D224" s="21" t="s">
        <v>193</v>
      </c>
      <c r="E224" s="22">
        <v>0</v>
      </c>
      <c r="F224" s="22">
        <v>0</v>
      </c>
      <c r="G224" s="22">
        <v>11</v>
      </c>
      <c r="H224" s="22" t="e">
        <f t="shared" si="5"/>
        <v>#DIV/0!</v>
      </c>
    </row>
    <row r="225" spans="1:8" ht="15">
      <c r="A225" s="21"/>
      <c r="B225" s="21">
        <v>2219</v>
      </c>
      <c r="C225" s="21">
        <v>2329</v>
      </c>
      <c r="D225" s="21" t="s">
        <v>194</v>
      </c>
      <c r="E225" s="22">
        <v>4800</v>
      </c>
      <c r="F225" s="22">
        <v>4800</v>
      </c>
      <c r="G225" s="22">
        <v>3737.4</v>
      </c>
      <c r="H225" s="22">
        <f t="shared" si="5"/>
        <v>77.8625</v>
      </c>
    </row>
    <row r="226" spans="1:8" ht="15">
      <c r="A226" s="21"/>
      <c r="B226" s="21">
        <v>2299</v>
      </c>
      <c r="C226" s="21">
        <v>2212</v>
      </c>
      <c r="D226" s="21" t="s">
        <v>195</v>
      </c>
      <c r="E226" s="22">
        <v>0</v>
      </c>
      <c r="F226" s="22">
        <v>2200</v>
      </c>
      <c r="G226" s="22">
        <v>3593.9</v>
      </c>
      <c r="H226" s="22">
        <f t="shared" si="5"/>
        <v>163.35909090909092</v>
      </c>
    </row>
    <row r="227" spans="1:8" ht="15">
      <c r="A227" s="21"/>
      <c r="B227" s="21">
        <v>6171</v>
      </c>
      <c r="C227" s="21">
        <v>2212</v>
      </c>
      <c r="D227" s="21" t="s">
        <v>196</v>
      </c>
      <c r="E227" s="22">
        <v>2200</v>
      </c>
      <c r="F227" s="22">
        <v>0</v>
      </c>
      <c r="G227" s="22">
        <v>0</v>
      </c>
      <c r="H227" s="22" t="e">
        <f t="shared" si="5"/>
        <v>#DIV/0!</v>
      </c>
    </row>
    <row r="228" spans="1:8" ht="15">
      <c r="A228" s="24"/>
      <c r="B228" s="24">
        <v>6171</v>
      </c>
      <c r="C228" s="24">
        <v>2324</v>
      </c>
      <c r="D228" s="24" t="s">
        <v>193</v>
      </c>
      <c r="E228" s="25">
        <v>200</v>
      </c>
      <c r="F228" s="25">
        <v>200</v>
      </c>
      <c r="G228" s="25">
        <v>374.4</v>
      </c>
      <c r="H228" s="22">
        <f t="shared" si="5"/>
        <v>187.2</v>
      </c>
    </row>
    <row r="229" spans="1:8" ht="15" hidden="1">
      <c r="A229" s="24"/>
      <c r="B229" s="24">
        <v>6171</v>
      </c>
      <c r="C229" s="24">
        <v>2329</v>
      </c>
      <c r="D229" s="24" t="s">
        <v>197</v>
      </c>
      <c r="E229" s="26"/>
      <c r="F229" s="26"/>
      <c r="G229" s="25"/>
      <c r="H229" s="22" t="e">
        <f>(#REF!/F229)*100</f>
        <v>#REF!</v>
      </c>
    </row>
    <row r="230" spans="1:8" ht="15.75" thickBot="1">
      <c r="A230" s="59"/>
      <c r="B230" s="59"/>
      <c r="C230" s="59"/>
      <c r="D230" s="59"/>
      <c r="E230" s="60"/>
      <c r="F230" s="60"/>
      <c r="G230" s="60"/>
      <c r="H230" s="60"/>
    </row>
    <row r="231" spans="1:8" s="32" customFormat="1" ht="21.75" customHeight="1" thickBot="1" thickTop="1">
      <c r="A231" s="62"/>
      <c r="B231" s="62"/>
      <c r="C231" s="62"/>
      <c r="D231" s="63" t="s">
        <v>198</v>
      </c>
      <c r="E231" s="64">
        <f>SUM(E217:E230)</f>
        <v>15200</v>
      </c>
      <c r="F231" s="64">
        <f>SUM(F217:F230)</f>
        <v>15200</v>
      </c>
      <c r="G231" s="64">
        <f>SUM(G217:G230)</f>
        <v>14213.199999999999</v>
      </c>
      <c r="H231" s="64">
        <f>(G231/F231)*100</f>
        <v>93.5078947368421</v>
      </c>
    </row>
    <row r="232" spans="1:8" ht="15" customHeight="1">
      <c r="A232" s="51"/>
      <c r="B232" s="51"/>
      <c r="C232" s="51"/>
      <c r="D232" s="14"/>
      <c r="E232" s="52"/>
      <c r="F232" s="52"/>
      <c r="G232" s="52"/>
      <c r="H232" s="52"/>
    </row>
    <row r="233" spans="1:8" ht="15" customHeight="1" hidden="1">
      <c r="A233" s="51"/>
      <c r="B233" s="51"/>
      <c r="C233" s="51"/>
      <c r="D233" s="14"/>
      <c r="E233" s="52"/>
      <c r="F233" s="52"/>
      <c r="G233" s="52"/>
      <c r="H233" s="52"/>
    </row>
    <row r="234" spans="1:8" ht="15" customHeight="1" hidden="1">
      <c r="A234" s="51"/>
      <c r="B234" s="51"/>
      <c r="C234" s="51"/>
      <c r="D234" s="14"/>
      <c r="E234" s="52"/>
      <c r="F234" s="52"/>
      <c r="G234" s="52"/>
      <c r="H234" s="52"/>
    </row>
    <row r="235" spans="1:8" ht="15" customHeight="1" thickBot="1">
      <c r="A235" s="51"/>
      <c r="B235" s="51"/>
      <c r="C235" s="51"/>
      <c r="D235" s="14"/>
      <c r="E235" s="52"/>
      <c r="F235" s="52"/>
      <c r="G235" s="52"/>
      <c r="H235" s="52"/>
    </row>
    <row r="236" spans="1:8" ht="15.75">
      <c r="A236" s="207" t="s">
        <v>25</v>
      </c>
      <c r="B236" s="207" t="s">
        <v>26</v>
      </c>
      <c r="C236" s="207" t="s">
        <v>27</v>
      </c>
      <c r="D236" s="208" t="s">
        <v>28</v>
      </c>
      <c r="E236" s="209" t="s">
        <v>29</v>
      </c>
      <c r="F236" s="209" t="s">
        <v>29</v>
      </c>
      <c r="G236" s="209" t="s">
        <v>8</v>
      </c>
      <c r="H236" s="209" t="s">
        <v>30</v>
      </c>
    </row>
    <row r="237" spans="1:8" ht="15.75" customHeight="1" thickBot="1">
      <c r="A237" s="210"/>
      <c r="B237" s="210"/>
      <c r="C237" s="210"/>
      <c r="D237" s="211"/>
      <c r="E237" s="212" t="s">
        <v>31</v>
      </c>
      <c r="F237" s="212" t="s">
        <v>32</v>
      </c>
      <c r="G237" s="213" t="s">
        <v>33</v>
      </c>
      <c r="H237" s="212" t="s">
        <v>34</v>
      </c>
    </row>
    <row r="238" spans="1:8" ht="16.5" customHeight="1" thickTop="1">
      <c r="A238" s="18">
        <v>90</v>
      </c>
      <c r="B238" s="18"/>
      <c r="C238" s="18"/>
      <c r="D238" s="19" t="s">
        <v>199</v>
      </c>
      <c r="E238" s="20"/>
      <c r="F238" s="20"/>
      <c r="G238" s="20"/>
      <c r="H238" s="20"/>
    </row>
    <row r="239" spans="1:8" ht="15.75">
      <c r="A239" s="18"/>
      <c r="B239" s="18"/>
      <c r="C239" s="18"/>
      <c r="D239" s="19"/>
      <c r="E239" s="20"/>
      <c r="F239" s="20"/>
      <c r="G239" s="20"/>
      <c r="H239" s="20"/>
    </row>
    <row r="240" spans="1:8" ht="15">
      <c r="A240" s="27"/>
      <c r="B240" s="27"/>
      <c r="C240" s="27">
        <v>4121</v>
      </c>
      <c r="D240" s="27" t="s">
        <v>200</v>
      </c>
      <c r="E240" s="66">
        <v>300</v>
      </c>
      <c r="F240" s="66">
        <v>300</v>
      </c>
      <c r="G240" s="66">
        <v>300</v>
      </c>
      <c r="H240" s="22">
        <f aca="true" t="shared" si="6" ref="H240:H247">(G240/F240)*100</f>
        <v>100</v>
      </c>
    </row>
    <row r="241" spans="1:8" ht="15">
      <c r="A241" s="21"/>
      <c r="B241" s="21">
        <v>5311</v>
      </c>
      <c r="C241" s="21">
        <v>2111</v>
      </c>
      <c r="D241" s="21" t="s">
        <v>65</v>
      </c>
      <c r="E241" s="67">
        <v>650</v>
      </c>
      <c r="F241" s="67">
        <v>650</v>
      </c>
      <c r="G241" s="67">
        <v>353</v>
      </c>
      <c r="H241" s="22">
        <f t="shared" si="6"/>
        <v>54.307692307692314</v>
      </c>
    </row>
    <row r="242" spans="1:8" ht="15">
      <c r="A242" s="21"/>
      <c r="B242" s="21">
        <v>5311</v>
      </c>
      <c r="C242" s="21">
        <v>2212</v>
      </c>
      <c r="D242" s="21" t="s">
        <v>201</v>
      </c>
      <c r="E242" s="68">
        <v>1850</v>
      </c>
      <c r="F242" s="68">
        <v>1850</v>
      </c>
      <c r="G242" s="68">
        <v>661.8</v>
      </c>
      <c r="H242" s="22">
        <f t="shared" si="6"/>
        <v>35.77297297297297</v>
      </c>
    </row>
    <row r="243" spans="1:8" ht="15" hidden="1">
      <c r="A243" s="24"/>
      <c r="B243" s="24">
        <v>5311</v>
      </c>
      <c r="C243" s="24">
        <v>2310</v>
      </c>
      <c r="D243" s="24" t="s">
        <v>202</v>
      </c>
      <c r="E243" s="25"/>
      <c r="F243" s="25"/>
      <c r="G243" s="25"/>
      <c r="H243" s="22" t="e">
        <f t="shared" si="6"/>
        <v>#DIV/0!</v>
      </c>
    </row>
    <row r="244" spans="1:8" ht="15">
      <c r="A244" s="24"/>
      <c r="B244" s="24">
        <v>5311</v>
      </c>
      <c r="C244" s="24">
        <v>2322</v>
      </c>
      <c r="D244" s="24" t="s">
        <v>203</v>
      </c>
      <c r="E244" s="25">
        <v>0</v>
      </c>
      <c r="F244" s="25">
        <v>0</v>
      </c>
      <c r="G244" s="25">
        <v>0.7</v>
      </c>
      <c r="H244" s="22" t="e">
        <f t="shared" si="6"/>
        <v>#DIV/0!</v>
      </c>
    </row>
    <row r="245" spans="1:8" ht="15">
      <c r="A245" s="21"/>
      <c r="B245" s="21">
        <v>5311</v>
      </c>
      <c r="C245" s="21">
        <v>2324</v>
      </c>
      <c r="D245" s="21" t="s">
        <v>204</v>
      </c>
      <c r="E245" s="22">
        <v>0</v>
      </c>
      <c r="F245" s="22">
        <v>110</v>
      </c>
      <c r="G245" s="22">
        <v>120.9</v>
      </c>
      <c r="H245" s="22">
        <f t="shared" si="6"/>
        <v>109.9090909090909</v>
      </c>
    </row>
    <row r="246" spans="1:8" ht="15">
      <c r="A246" s="24"/>
      <c r="B246" s="24">
        <v>5311</v>
      </c>
      <c r="C246" s="24">
        <v>2329</v>
      </c>
      <c r="D246" s="24" t="s">
        <v>70</v>
      </c>
      <c r="E246" s="25">
        <v>0</v>
      </c>
      <c r="F246" s="25">
        <v>0</v>
      </c>
      <c r="G246" s="25">
        <v>0.5</v>
      </c>
      <c r="H246" s="22" t="e">
        <f t="shared" si="6"/>
        <v>#DIV/0!</v>
      </c>
    </row>
    <row r="247" spans="1:8" ht="15">
      <c r="A247" s="24"/>
      <c r="B247" s="24">
        <v>5311</v>
      </c>
      <c r="C247" s="24">
        <v>3113</v>
      </c>
      <c r="D247" s="24" t="s">
        <v>202</v>
      </c>
      <c r="E247" s="25">
        <v>0</v>
      </c>
      <c r="F247" s="25">
        <v>0</v>
      </c>
      <c r="G247" s="25">
        <v>20</v>
      </c>
      <c r="H247" s="22" t="e">
        <f t="shared" si="6"/>
        <v>#DIV/0!</v>
      </c>
    </row>
    <row r="248" spans="1:8" ht="15" hidden="1">
      <c r="A248" s="24"/>
      <c r="B248" s="24">
        <v>6409</v>
      </c>
      <c r="C248" s="24">
        <v>2328</v>
      </c>
      <c r="D248" s="24" t="s">
        <v>205</v>
      </c>
      <c r="E248" s="25">
        <v>0</v>
      </c>
      <c r="F248" s="25">
        <v>0</v>
      </c>
      <c r="G248" s="25"/>
      <c r="H248" s="22" t="e">
        <f>(#REF!/F248)*100</f>
        <v>#REF!</v>
      </c>
    </row>
    <row r="249" spans="1:8" ht="15.75" thickBot="1">
      <c r="A249" s="59"/>
      <c r="B249" s="59"/>
      <c r="C249" s="59"/>
      <c r="D249" s="59"/>
      <c r="E249" s="60"/>
      <c r="F249" s="60"/>
      <c r="G249" s="60"/>
      <c r="H249" s="60"/>
    </row>
    <row r="250" spans="1:8" s="32" customFormat="1" ht="21.75" customHeight="1" thickBot="1" thickTop="1">
      <c r="A250" s="62"/>
      <c r="B250" s="62"/>
      <c r="C250" s="62"/>
      <c r="D250" s="63" t="s">
        <v>206</v>
      </c>
      <c r="E250" s="64">
        <f>SUM(E240:E249)</f>
        <v>2800</v>
      </c>
      <c r="F250" s="64">
        <f>SUM(F240:F249)</f>
        <v>2910</v>
      </c>
      <c r="G250" s="64">
        <f>SUM(G240:G249)</f>
        <v>1456.9</v>
      </c>
      <c r="H250" s="64">
        <f>(G250/F250)*100</f>
        <v>50.065292096219935</v>
      </c>
    </row>
    <row r="251" spans="1:8" ht="15" customHeight="1">
      <c r="A251" s="51"/>
      <c r="B251" s="51"/>
      <c r="C251" s="51"/>
      <c r="D251" s="14"/>
      <c r="E251" s="52"/>
      <c r="F251" s="52"/>
      <c r="G251" s="52"/>
      <c r="H251" s="52"/>
    </row>
    <row r="252" spans="1:8" ht="15" customHeight="1" hidden="1">
      <c r="A252" s="51"/>
      <c r="B252" s="51"/>
      <c r="C252" s="51"/>
      <c r="D252" s="14"/>
      <c r="E252" s="52"/>
      <c r="F252" s="52"/>
      <c r="G252" s="52"/>
      <c r="H252" s="52"/>
    </row>
    <row r="253" spans="1:8" ht="15" customHeight="1" hidden="1">
      <c r="A253" s="51"/>
      <c r="B253" s="51"/>
      <c r="C253" s="51"/>
      <c r="D253" s="14"/>
      <c r="E253" s="52"/>
      <c r="F253" s="52"/>
      <c r="G253" s="52"/>
      <c r="H253" s="52"/>
    </row>
    <row r="254" spans="1:8" ht="15" customHeight="1" hidden="1">
      <c r="A254" s="51"/>
      <c r="B254" s="51"/>
      <c r="C254" s="51"/>
      <c r="D254" s="14"/>
      <c r="E254" s="52"/>
      <c r="F254" s="52"/>
      <c r="G254" s="52"/>
      <c r="H254" s="52"/>
    </row>
    <row r="255" spans="1:8" ht="15" customHeight="1" hidden="1">
      <c r="A255" s="51"/>
      <c r="B255" s="51"/>
      <c r="C255" s="51"/>
      <c r="D255" s="14"/>
      <c r="E255" s="52"/>
      <c r="F255" s="52"/>
      <c r="G255" s="52"/>
      <c r="H255" s="52"/>
    </row>
    <row r="256" spans="1:8" ht="15" customHeight="1" hidden="1">
      <c r="A256" s="51"/>
      <c r="B256" s="51"/>
      <c r="C256" s="51"/>
      <c r="D256" s="14"/>
      <c r="E256" s="52"/>
      <c r="F256" s="52"/>
      <c r="G256" s="52"/>
      <c r="H256" s="52"/>
    </row>
    <row r="257" spans="1:8" ht="15" customHeight="1" hidden="1">
      <c r="A257" s="51"/>
      <c r="B257" s="51"/>
      <c r="C257" s="51"/>
      <c r="D257" s="14"/>
      <c r="E257" s="52"/>
      <c r="F257" s="52"/>
      <c r="G257" s="52"/>
      <c r="H257" s="52"/>
    </row>
    <row r="258" spans="1:8" ht="15" customHeight="1" hidden="1">
      <c r="A258" s="51"/>
      <c r="B258" s="51"/>
      <c r="C258" s="51"/>
      <c r="D258" s="14"/>
      <c r="E258" s="52"/>
      <c r="F258" s="52"/>
      <c r="G258" s="10"/>
      <c r="H258" s="10"/>
    </row>
    <row r="259" spans="1:8" ht="15" customHeight="1" thickBot="1">
      <c r="A259" s="51"/>
      <c r="B259" s="51"/>
      <c r="C259" s="51"/>
      <c r="D259" s="14"/>
      <c r="E259" s="52"/>
      <c r="F259" s="52"/>
      <c r="G259" s="52"/>
      <c r="H259" s="52"/>
    </row>
    <row r="260" spans="1:8" ht="15.75">
      <c r="A260" s="207" t="s">
        <v>25</v>
      </c>
      <c r="B260" s="207" t="s">
        <v>26</v>
      </c>
      <c r="C260" s="207" t="s">
        <v>27</v>
      </c>
      <c r="D260" s="208" t="s">
        <v>28</v>
      </c>
      <c r="E260" s="209" t="s">
        <v>29</v>
      </c>
      <c r="F260" s="209" t="s">
        <v>29</v>
      </c>
      <c r="G260" s="209" t="s">
        <v>8</v>
      </c>
      <c r="H260" s="209" t="s">
        <v>30</v>
      </c>
    </row>
    <row r="261" spans="1:8" ht="15.75" customHeight="1" thickBot="1">
      <c r="A261" s="210"/>
      <c r="B261" s="210"/>
      <c r="C261" s="210"/>
      <c r="D261" s="211"/>
      <c r="E261" s="212" t="s">
        <v>31</v>
      </c>
      <c r="F261" s="212" t="s">
        <v>32</v>
      </c>
      <c r="G261" s="213" t="s">
        <v>33</v>
      </c>
      <c r="H261" s="212" t="s">
        <v>34</v>
      </c>
    </row>
    <row r="262" spans="1:8" ht="15.75" customHeight="1" thickTop="1">
      <c r="A262" s="18">
        <v>100</v>
      </c>
      <c r="B262" s="18"/>
      <c r="C262" s="18"/>
      <c r="D262" s="69" t="s">
        <v>207</v>
      </c>
      <c r="E262" s="20"/>
      <c r="F262" s="20"/>
      <c r="G262" s="20"/>
      <c r="H262" s="20"/>
    </row>
    <row r="263" spans="1:8" ht="15">
      <c r="A263" s="21"/>
      <c r="B263" s="21"/>
      <c r="C263" s="21"/>
      <c r="D263" s="21"/>
      <c r="E263" s="22"/>
      <c r="F263" s="22"/>
      <c r="G263" s="22"/>
      <c r="H263" s="22"/>
    </row>
    <row r="264" spans="1:8" ht="15">
      <c r="A264" s="21"/>
      <c r="B264" s="21"/>
      <c r="C264" s="21">
        <v>1361</v>
      </c>
      <c r="D264" s="21" t="s">
        <v>37</v>
      </c>
      <c r="E264" s="22">
        <v>1700</v>
      </c>
      <c r="F264" s="22">
        <v>1700</v>
      </c>
      <c r="G264" s="22">
        <v>1788.4</v>
      </c>
      <c r="H264" s="22">
        <f>(G264/F264)*100</f>
        <v>105.2</v>
      </c>
    </row>
    <row r="265" spans="1:8" ht="15.75" hidden="1">
      <c r="A265" s="55"/>
      <c r="B265" s="55"/>
      <c r="C265" s="21">
        <v>4216</v>
      </c>
      <c r="D265" s="21" t="s">
        <v>208</v>
      </c>
      <c r="E265" s="22"/>
      <c r="F265" s="22"/>
      <c r="G265" s="22"/>
      <c r="H265" s="22" t="e">
        <f>(G265/F265)*100</f>
        <v>#DIV/0!</v>
      </c>
    </row>
    <row r="266" spans="1:8" ht="15">
      <c r="A266" s="21"/>
      <c r="B266" s="21">
        <v>2169</v>
      </c>
      <c r="C266" s="21">
        <v>2212</v>
      </c>
      <c r="D266" s="21" t="s">
        <v>201</v>
      </c>
      <c r="E266" s="22">
        <v>500</v>
      </c>
      <c r="F266" s="22">
        <v>500</v>
      </c>
      <c r="G266" s="22">
        <v>336.5</v>
      </c>
      <c r="H266" s="22">
        <f>(G266/F266)*100</f>
        <v>67.30000000000001</v>
      </c>
    </row>
    <row r="267" spans="1:8" ht="15" hidden="1">
      <c r="A267" s="24"/>
      <c r="B267" s="24">
        <v>3635</v>
      </c>
      <c r="C267" s="24">
        <v>3122</v>
      </c>
      <c r="D267" s="21" t="s">
        <v>209</v>
      </c>
      <c r="E267" s="22">
        <v>0</v>
      </c>
      <c r="F267" s="22">
        <v>0</v>
      </c>
      <c r="G267" s="22"/>
      <c r="H267" s="22" t="e">
        <f>(G267/F267)*100</f>
        <v>#DIV/0!</v>
      </c>
    </row>
    <row r="268" spans="1:8" ht="15">
      <c r="A268" s="24"/>
      <c r="B268" s="24">
        <v>6171</v>
      </c>
      <c r="C268" s="24">
        <v>2324</v>
      </c>
      <c r="D268" s="21" t="s">
        <v>210</v>
      </c>
      <c r="E268" s="28">
        <v>40</v>
      </c>
      <c r="F268" s="28">
        <v>40</v>
      </c>
      <c r="G268" s="28">
        <v>59.5</v>
      </c>
      <c r="H268" s="22">
        <f>(G268/F268)*100</f>
        <v>148.75</v>
      </c>
    </row>
    <row r="269" spans="1:8" ht="15" customHeight="1" thickBot="1">
      <c r="A269" s="59"/>
      <c r="B269" s="59"/>
      <c r="C269" s="59"/>
      <c r="D269" s="59"/>
      <c r="E269" s="60"/>
      <c r="F269" s="60"/>
      <c r="G269" s="60"/>
      <c r="H269" s="60"/>
    </row>
    <row r="270" spans="1:8" s="32" customFormat="1" ht="21.75" customHeight="1" thickBot="1" thickTop="1">
      <c r="A270" s="62"/>
      <c r="B270" s="62"/>
      <c r="C270" s="62"/>
      <c r="D270" s="63" t="s">
        <v>211</v>
      </c>
      <c r="E270" s="64">
        <f>SUM(E262:E268)</f>
        <v>2240</v>
      </c>
      <c r="F270" s="64">
        <f>SUM(F262:F268)</f>
        <v>2240</v>
      </c>
      <c r="G270" s="64">
        <f>SUM(G262:G268)</f>
        <v>2184.4</v>
      </c>
      <c r="H270" s="64">
        <f>(G270/F270)*100</f>
        <v>97.51785714285714</v>
      </c>
    </row>
    <row r="271" spans="1:8" ht="15" customHeight="1">
      <c r="A271" s="51"/>
      <c r="B271" s="51"/>
      <c r="C271" s="51"/>
      <c r="D271" s="14"/>
      <c r="E271" s="52"/>
      <c r="F271" s="52"/>
      <c r="G271" s="52"/>
      <c r="H271" s="52"/>
    </row>
    <row r="272" spans="1:8" ht="15" customHeight="1">
      <c r="A272" s="51"/>
      <c r="B272" s="51"/>
      <c r="C272" s="51"/>
      <c r="D272" s="14"/>
      <c r="E272" s="52"/>
      <c r="F272" s="52"/>
      <c r="G272" s="52"/>
      <c r="H272" s="52"/>
    </row>
    <row r="273" spans="1:8" ht="15" customHeight="1" hidden="1">
      <c r="A273" s="51"/>
      <c r="B273" s="51"/>
      <c r="C273" s="51"/>
      <c r="D273" s="14"/>
      <c r="E273" s="52"/>
      <c r="F273" s="52"/>
      <c r="G273" s="52"/>
      <c r="H273" s="52"/>
    </row>
    <row r="274" spans="1:8" ht="15" customHeight="1" thickBot="1">
      <c r="A274" s="51"/>
      <c r="B274" s="51"/>
      <c r="C274" s="51"/>
      <c r="D274" s="14"/>
      <c r="E274" s="52"/>
      <c r="F274" s="52"/>
      <c r="G274" s="52"/>
      <c r="H274" s="52"/>
    </row>
    <row r="275" spans="1:8" ht="15.75">
      <c r="A275" s="207" t="s">
        <v>25</v>
      </c>
      <c r="B275" s="207" t="s">
        <v>26</v>
      </c>
      <c r="C275" s="207" t="s">
        <v>27</v>
      </c>
      <c r="D275" s="208" t="s">
        <v>28</v>
      </c>
      <c r="E275" s="209" t="s">
        <v>29</v>
      </c>
      <c r="F275" s="209" t="s">
        <v>29</v>
      </c>
      <c r="G275" s="209" t="s">
        <v>8</v>
      </c>
      <c r="H275" s="209" t="s">
        <v>30</v>
      </c>
    </row>
    <row r="276" spans="1:8" ht="15.75" customHeight="1" thickBot="1">
      <c r="A276" s="210"/>
      <c r="B276" s="210"/>
      <c r="C276" s="210"/>
      <c r="D276" s="211"/>
      <c r="E276" s="212" t="s">
        <v>31</v>
      </c>
      <c r="F276" s="212" t="s">
        <v>32</v>
      </c>
      <c r="G276" s="213" t="s">
        <v>33</v>
      </c>
      <c r="H276" s="212" t="s">
        <v>34</v>
      </c>
    </row>
    <row r="277" spans="1:8" ht="15.75" customHeight="1" thickTop="1">
      <c r="A277" s="70">
        <v>110</v>
      </c>
      <c r="B277" s="55"/>
      <c r="C277" s="55"/>
      <c r="D277" s="55" t="s">
        <v>212</v>
      </c>
      <c r="E277" s="20"/>
      <c r="F277" s="20"/>
      <c r="G277" s="20"/>
      <c r="H277" s="20"/>
    </row>
    <row r="278" spans="1:8" ht="15.75">
      <c r="A278" s="70"/>
      <c r="B278" s="55"/>
      <c r="C278" s="55"/>
      <c r="D278" s="55"/>
      <c r="E278" s="20"/>
      <c r="F278" s="20"/>
      <c r="G278" s="20"/>
      <c r="H278" s="20"/>
    </row>
    <row r="279" spans="1:8" ht="15">
      <c r="A279" s="21"/>
      <c r="B279" s="21"/>
      <c r="C279" s="21">
        <v>1111</v>
      </c>
      <c r="D279" s="21" t="s">
        <v>213</v>
      </c>
      <c r="E279" s="57">
        <v>48000</v>
      </c>
      <c r="F279" s="57">
        <v>48000</v>
      </c>
      <c r="G279" s="57">
        <v>39800.2</v>
      </c>
      <c r="H279" s="22">
        <f aca="true" t="shared" si="7" ref="H279:H303">(G279/F279)*100</f>
        <v>82.91708333333332</v>
      </c>
    </row>
    <row r="280" spans="1:8" ht="15">
      <c r="A280" s="21"/>
      <c r="B280" s="21"/>
      <c r="C280" s="21">
        <v>1112</v>
      </c>
      <c r="D280" s="21" t="s">
        <v>214</v>
      </c>
      <c r="E280" s="56">
        <v>6000</v>
      </c>
      <c r="F280" s="56">
        <v>6000</v>
      </c>
      <c r="G280" s="56">
        <v>3258</v>
      </c>
      <c r="H280" s="22">
        <f t="shared" si="7"/>
        <v>54.300000000000004</v>
      </c>
    </row>
    <row r="281" spans="1:8" ht="15">
      <c r="A281" s="21"/>
      <c r="B281" s="21"/>
      <c r="C281" s="21">
        <v>1113</v>
      </c>
      <c r="D281" s="21" t="s">
        <v>215</v>
      </c>
      <c r="E281" s="56">
        <v>4700</v>
      </c>
      <c r="F281" s="56">
        <v>4700</v>
      </c>
      <c r="G281" s="56">
        <v>4091.4</v>
      </c>
      <c r="H281" s="22">
        <f t="shared" si="7"/>
        <v>87.05106382978724</v>
      </c>
    </row>
    <row r="282" spans="1:8" ht="15">
      <c r="A282" s="21"/>
      <c r="B282" s="21"/>
      <c r="C282" s="21">
        <v>1121</v>
      </c>
      <c r="D282" s="21" t="s">
        <v>216</v>
      </c>
      <c r="E282" s="56">
        <v>45000</v>
      </c>
      <c r="F282" s="56">
        <v>45000</v>
      </c>
      <c r="G282" s="57">
        <v>40605.1</v>
      </c>
      <c r="H282" s="22">
        <f t="shared" si="7"/>
        <v>90.23355555555555</v>
      </c>
    </row>
    <row r="283" spans="1:8" ht="15">
      <c r="A283" s="21"/>
      <c r="B283" s="21"/>
      <c r="C283" s="21">
        <v>1122</v>
      </c>
      <c r="D283" s="21" t="s">
        <v>217</v>
      </c>
      <c r="E283" s="57">
        <v>10000</v>
      </c>
      <c r="F283" s="57">
        <v>9425.2</v>
      </c>
      <c r="G283" s="57">
        <v>9425.1</v>
      </c>
      <c r="H283" s="22">
        <f t="shared" si="7"/>
        <v>99.99893901455673</v>
      </c>
    </row>
    <row r="284" spans="1:8" ht="15">
      <c r="A284" s="21"/>
      <c r="B284" s="21"/>
      <c r="C284" s="21">
        <v>1211</v>
      </c>
      <c r="D284" s="21" t="s">
        <v>218</v>
      </c>
      <c r="E284" s="57">
        <v>102000</v>
      </c>
      <c r="F284" s="57">
        <v>102000</v>
      </c>
      <c r="G284" s="57">
        <v>80817</v>
      </c>
      <c r="H284" s="22">
        <f t="shared" si="7"/>
        <v>79.23235294117647</v>
      </c>
    </row>
    <row r="285" spans="1:8" ht="15">
      <c r="A285" s="21"/>
      <c r="B285" s="21"/>
      <c r="C285" s="21">
        <v>1340</v>
      </c>
      <c r="D285" s="21" t="s">
        <v>219</v>
      </c>
      <c r="E285" s="57">
        <v>10300</v>
      </c>
      <c r="F285" s="57">
        <v>10300</v>
      </c>
      <c r="G285" s="71">
        <v>10184.4</v>
      </c>
      <c r="H285" s="22">
        <f t="shared" si="7"/>
        <v>98.87766990291261</v>
      </c>
    </row>
    <row r="286" spans="1:8" ht="15">
      <c r="A286" s="21"/>
      <c r="B286" s="21"/>
      <c r="C286" s="21">
        <v>1341</v>
      </c>
      <c r="D286" s="21" t="s">
        <v>220</v>
      </c>
      <c r="E286" s="71">
        <v>950</v>
      </c>
      <c r="F286" s="71">
        <v>950</v>
      </c>
      <c r="G286" s="71">
        <v>843.1</v>
      </c>
      <c r="H286" s="22">
        <f t="shared" si="7"/>
        <v>88.74736842105263</v>
      </c>
    </row>
    <row r="287" spans="1:8" ht="15" customHeight="1">
      <c r="A287" s="54"/>
      <c r="B287" s="55"/>
      <c r="C287" s="36">
        <v>1342</v>
      </c>
      <c r="D287" s="36" t="s">
        <v>221</v>
      </c>
      <c r="E287" s="20">
        <v>50</v>
      </c>
      <c r="F287" s="20">
        <v>50</v>
      </c>
      <c r="G287" s="20">
        <v>50.5</v>
      </c>
      <c r="H287" s="22">
        <f t="shared" si="7"/>
        <v>101</v>
      </c>
    </row>
    <row r="288" spans="1:8" ht="15">
      <c r="A288" s="72"/>
      <c r="B288" s="36"/>
      <c r="C288" s="36">
        <v>1343</v>
      </c>
      <c r="D288" s="36" t="s">
        <v>222</v>
      </c>
      <c r="E288" s="20">
        <v>1100</v>
      </c>
      <c r="F288" s="20">
        <v>1100</v>
      </c>
      <c r="G288" s="20">
        <v>945.2</v>
      </c>
      <c r="H288" s="22">
        <f t="shared" si="7"/>
        <v>85.92727272727274</v>
      </c>
    </row>
    <row r="289" spans="1:8" ht="15">
      <c r="A289" s="47"/>
      <c r="B289" s="21"/>
      <c r="C289" s="21">
        <v>1345</v>
      </c>
      <c r="D289" s="21" t="s">
        <v>223</v>
      </c>
      <c r="E289" s="56">
        <v>200</v>
      </c>
      <c r="F289" s="56">
        <v>200</v>
      </c>
      <c r="G289" s="56">
        <v>145.8</v>
      </c>
      <c r="H289" s="22">
        <f t="shared" si="7"/>
        <v>72.9</v>
      </c>
    </row>
    <row r="290" spans="1:8" ht="15">
      <c r="A290" s="21"/>
      <c r="B290" s="21"/>
      <c r="C290" s="21">
        <v>1347</v>
      </c>
      <c r="D290" s="21" t="s">
        <v>224</v>
      </c>
      <c r="E290" s="71">
        <v>0</v>
      </c>
      <c r="F290" s="71">
        <v>0</v>
      </c>
      <c r="G290" s="71">
        <v>697.8</v>
      </c>
      <c r="H290" s="22" t="e">
        <f t="shared" si="7"/>
        <v>#DIV/0!</v>
      </c>
    </row>
    <row r="291" spans="1:8" ht="15" hidden="1">
      <c r="A291" s="21"/>
      <c r="B291" s="21"/>
      <c r="C291" s="21">
        <v>1349</v>
      </c>
      <c r="D291" s="21" t="s">
        <v>225</v>
      </c>
      <c r="E291" s="57"/>
      <c r="F291" s="57"/>
      <c r="G291" s="57"/>
      <c r="H291" s="22" t="e">
        <f t="shared" si="7"/>
        <v>#DIV/0!</v>
      </c>
    </row>
    <row r="292" spans="1:8" ht="15">
      <c r="A292" s="21"/>
      <c r="B292" s="21"/>
      <c r="C292" s="21">
        <v>1351.5</v>
      </c>
      <c r="D292" s="21" t="s">
        <v>226</v>
      </c>
      <c r="E292" s="57">
        <v>18500</v>
      </c>
      <c r="F292" s="57">
        <v>18500</v>
      </c>
      <c r="G292" s="57">
        <f>876.7+15708.1</f>
        <v>16584.8</v>
      </c>
      <c r="H292" s="22">
        <f t="shared" si="7"/>
        <v>89.64756756756756</v>
      </c>
    </row>
    <row r="293" spans="1:8" ht="15">
      <c r="A293" s="21"/>
      <c r="B293" s="21"/>
      <c r="C293" s="21">
        <v>1361</v>
      </c>
      <c r="D293" s="21" t="s">
        <v>227</v>
      </c>
      <c r="E293" s="71">
        <v>0</v>
      </c>
      <c r="F293" s="71">
        <v>0</v>
      </c>
      <c r="G293" s="71">
        <v>0.1</v>
      </c>
      <c r="H293" s="22" t="e">
        <f t="shared" si="7"/>
        <v>#DIV/0!</v>
      </c>
    </row>
    <row r="294" spans="1:8" ht="15">
      <c r="A294" s="21"/>
      <c r="B294" s="21"/>
      <c r="C294" s="21">
        <v>1511</v>
      </c>
      <c r="D294" s="21" t="s">
        <v>228</v>
      </c>
      <c r="E294" s="22">
        <v>21500</v>
      </c>
      <c r="F294" s="22">
        <v>21500</v>
      </c>
      <c r="G294" s="22">
        <v>14602.9</v>
      </c>
      <c r="H294" s="22">
        <f t="shared" si="7"/>
        <v>67.92046511627908</v>
      </c>
    </row>
    <row r="295" spans="1:8" ht="15" customHeight="1" hidden="1">
      <c r="A295" s="21"/>
      <c r="B295" s="21"/>
      <c r="C295" s="21">
        <v>2460</v>
      </c>
      <c r="D295" s="21" t="s">
        <v>229</v>
      </c>
      <c r="E295" s="22"/>
      <c r="F295" s="22"/>
      <c r="G295" s="22"/>
      <c r="H295" s="22" t="e">
        <f t="shared" si="7"/>
        <v>#DIV/0!</v>
      </c>
    </row>
    <row r="296" spans="1:8" ht="15">
      <c r="A296" s="21"/>
      <c r="B296" s="21"/>
      <c r="C296" s="21">
        <v>4112</v>
      </c>
      <c r="D296" s="21" t="s">
        <v>230</v>
      </c>
      <c r="E296" s="22">
        <v>34000</v>
      </c>
      <c r="F296" s="22">
        <v>34754</v>
      </c>
      <c r="G296" s="22">
        <v>26065.8</v>
      </c>
      <c r="H296" s="22">
        <f t="shared" si="7"/>
        <v>75.00086320999021</v>
      </c>
    </row>
    <row r="297" spans="1:8" ht="15" hidden="1">
      <c r="A297" s="21"/>
      <c r="B297" s="21">
        <v>6171</v>
      </c>
      <c r="C297" s="21">
        <v>2212</v>
      </c>
      <c r="D297" s="21" t="s">
        <v>231</v>
      </c>
      <c r="E297" s="22"/>
      <c r="F297" s="22"/>
      <c r="G297" s="22"/>
      <c r="H297" s="22" t="e">
        <f t="shared" si="7"/>
        <v>#DIV/0!</v>
      </c>
    </row>
    <row r="298" spans="1:8" ht="15">
      <c r="A298" s="21"/>
      <c r="B298" s="21"/>
      <c r="C298" s="21">
        <v>4132</v>
      </c>
      <c r="D298" s="21" t="s">
        <v>232</v>
      </c>
      <c r="E298" s="22">
        <v>0</v>
      </c>
      <c r="F298" s="22">
        <v>0</v>
      </c>
      <c r="G298" s="22">
        <v>125.5</v>
      </c>
      <c r="H298" s="22" t="e">
        <f t="shared" si="7"/>
        <v>#DIV/0!</v>
      </c>
    </row>
    <row r="299" spans="1:8" ht="15" hidden="1">
      <c r="A299" s="21"/>
      <c r="B299" s="21">
        <v>6171</v>
      </c>
      <c r="C299" s="21">
        <v>2328</v>
      </c>
      <c r="D299" s="21" t="s">
        <v>233</v>
      </c>
      <c r="E299" s="22"/>
      <c r="F299" s="22"/>
      <c r="G299" s="22"/>
      <c r="H299" s="22" t="e">
        <f t="shared" si="7"/>
        <v>#DIV/0!</v>
      </c>
    </row>
    <row r="300" spans="1:8" ht="15">
      <c r="A300" s="21"/>
      <c r="B300" s="21">
        <v>6310</v>
      </c>
      <c r="C300" s="21">
        <v>2141</v>
      </c>
      <c r="D300" s="21" t="s">
        <v>234</v>
      </c>
      <c r="E300" s="22">
        <v>300</v>
      </c>
      <c r="F300" s="22">
        <v>300</v>
      </c>
      <c r="G300" s="22">
        <v>464.2</v>
      </c>
      <c r="H300" s="22">
        <f t="shared" si="7"/>
        <v>154.73333333333332</v>
      </c>
    </row>
    <row r="301" spans="1:8" ht="15" hidden="1">
      <c r="A301" s="21"/>
      <c r="B301" s="21">
        <v>6310</v>
      </c>
      <c r="C301" s="21">
        <v>2142</v>
      </c>
      <c r="D301" s="21" t="s">
        <v>235</v>
      </c>
      <c r="E301" s="73"/>
      <c r="F301" s="73"/>
      <c r="G301" s="22"/>
      <c r="H301" s="22" t="e">
        <f t="shared" si="7"/>
        <v>#DIV/0!</v>
      </c>
    </row>
    <row r="302" spans="1:8" ht="15">
      <c r="A302" s="21"/>
      <c r="B302" s="21">
        <v>6310</v>
      </c>
      <c r="C302" s="21">
        <v>2329</v>
      </c>
      <c r="D302" s="21" t="s">
        <v>236</v>
      </c>
      <c r="E302" s="73">
        <v>0</v>
      </c>
      <c r="F302" s="73">
        <v>0</v>
      </c>
      <c r="G302" s="22">
        <v>1.5</v>
      </c>
      <c r="H302" s="22" t="e">
        <f t="shared" si="7"/>
        <v>#DIV/0!</v>
      </c>
    </row>
    <row r="303" spans="1:8" ht="15">
      <c r="A303" s="21"/>
      <c r="B303" s="21">
        <v>6409</v>
      </c>
      <c r="C303" s="21">
        <v>2328</v>
      </c>
      <c r="D303" s="21" t="s">
        <v>237</v>
      </c>
      <c r="E303" s="73">
        <v>0</v>
      </c>
      <c r="F303" s="73">
        <v>0</v>
      </c>
      <c r="G303" s="22">
        <v>17.3</v>
      </c>
      <c r="H303" s="22" t="e">
        <f t="shared" si="7"/>
        <v>#DIV/0!</v>
      </c>
    </row>
    <row r="304" spans="1:8" ht="15.75" customHeight="1" thickBot="1">
      <c r="A304" s="59"/>
      <c r="B304" s="59"/>
      <c r="C304" s="59"/>
      <c r="D304" s="59"/>
      <c r="E304" s="74"/>
      <c r="F304" s="74"/>
      <c r="G304" s="74"/>
      <c r="H304" s="74"/>
    </row>
    <row r="305" spans="1:8" s="32" customFormat="1" ht="21.75" customHeight="1" thickBot="1" thickTop="1">
      <c r="A305" s="62"/>
      <c r="B305" s="62"/>
      <c r="C305" s="62"/>
      <c r="D305" s="63" t="s">
        <v>238</v>
      </c>
      <c r="E305" s="64">
        <f>SUM(E279:E304)</f>
        <v>302600</v>
      </c>
      <c r="F305" s="64">
        <f>SUM(F279:F304)</f>
        <v>302779.2</v>
      </c>
      <c r="G305" s="64">
        <f>SUM(G279:G304)</f>
        <v>248725.69999999995</v>
      </c>
      <c r="H305" s="64">
        <f>(G305/F305)*100</f>
        <v>82.14755174727985</v>
      </c>
    </row>
    <row r="306" spans="1:8" ht="15" customHeight="1">
      <c r="A306" s="51"/>
      <c r="B306" s="51"/>
      <c r="C306" s="51"/>
      <c r="D306" s="14"/>
      <c r="E306" s="52"/>
      <c r="F306" s="52"/>
      <c r="G306" s="52"/>
      <c r="H306" s="52"/>
    </row>
    <row r="307" spans="1:8" ht="15">
      <c r="A307" s="32"/>
      <c r="B307" s="51"/>
      <c r="C307" s="51"/>
      <c r="D307" s="51"/>
      <c r="E307" s="75"/>
      <c r="F307" s="75"/>
      <c r="G307" s="75"/>
      <c r="H307" s="75"/>
    </row>
    <row r="308" spans="1:8" ht="15" hidden="1">
      <c r="A308" s="32"/>
      <c r="B308" s="51"/>
      <c r="C308" s="51"/>
      <c r="D308" s="51"/>
      <c r="E308" s="75"/>
      <c r="F308" s="75"/>
      <c r="G308" s="75"/>
      <c r="H308" s="75"/>
    </row>
    <row r="309" spans="1:8" ht="15" customHeight="1" thickBot="1">
      <c r="A309" s="32"/>
      <c r="B309" s="51"/>
      <c r="C309" s="51"/>
      <c r="D309" s="51"/>
      <c r="E309" s="75"/>
      <c r="F309" s="75"/>
      <c r="G309" s="75"/>
      <c r="H309" s="75"/>
    </row>
    <row r="310" spans="1:8" ht="15.75">
      <c r="A310" s="207" t="s">
        <v>25</v>
      </c>
      <c r="B310" s="207" t="s">
        <v>26</v>
      </c>
      <c r="C310" s="207" t="s">
        <v>27</v>
      </c>
      <c r="D310" s="208" t="s">
        <v>28</v>
      </c>
      <c r="E310" s="209" t="s">
        <v>29</v>
      </c>
      <c r="F310" s="209" t="s">
        <v>29</v>
      </c>
      <c r="G310" s="209" t="s">
        <v>8</v>
      </c>
      <c r="H310" s="209" t="s">
        <v>30</v>
      </c>
    </row>
    <row r="311" spans="1:8" ht="15.75" customHeight="1" thickBot="1">
      <c r="A311" s="210"/>
      <c r="B311" s="210"/>
      <c r="C311" s="210"/>
      <c r="D311" s="211"/>
      <c r="E311" s="212" t="s">
        <v>31</v>
      </c>
      <c r="F311" s="212" t="s">
        <v>32</v>
      </c>
      <c r="G311" s="213" t="s">
        <v>33</v>
      </c>
      <c r="H311" s="212" t="s">
        <v>34</v>
      </c>
    </row>
    <row r="312" spans="1:8" ht="16.5" customHeight="1" thickTop="1">
      <c r="A312" s="18">
        <v>120</v>
      </c>
      <c r="B312" s="18"/>
      <c r="C312" s="18"/>
      <c r="D312" s="55" t="s">
        <v>239</v>
      </c>
      <c r="E312" s="20"/>
      <c r="F312" s="20"/>
      <c r="G312" s="20"/>
      <c r="H312" s="20"/>
    </row>
    <row r="313" spans="1:8" ht="15.75">
      <c r="A313" s="55"/>
      <c r="B313" s="55"/>
      <c r="C313" s="55"/>
      <c r="D313" s="55"/>
      <c r="E313" s="22"/>
      <c r="F313" s="22"/>
      <c r="G313" s="22"/>
      <c r="H313" s="22"/>
    </row>
    <row r="314" spans="1:8" ht="15">
      <c r="A314" s="21"/>
      <c r="B314" s="21"/>
      <c r="C314" s="21">
        <v>1361</v>
      </c>
      <c r="D314" s="21" t="s">
        <v>37</v>
      </c>
      <c r="E314" s="76">
        <v>0</v>
      </c>
      <c r="F314" s="76">
        <v>0</v>
      </c>
      <c r="G314" s="76">
        <v>0.5</v>
      </c>
      <c r="H314" s="22" t="e">
        <f aca="true" t="shared" si="8" ref="H314:H353">(G314/F314)*100</f>
        <v>#DIV/0!</v>
      </c>
    </row>
    <row r="315" spans="1:8" ht="15">
      <c r="A315" s="21"/>
      <c r="B315" s="21">
        <v>3612</v>
      </c>
      <c r="C315" s="21">
        <v>2111</v>
      </c>
      <c r="D315" s="21" t="s">
        <v>240</v>
      </c>
      <c r="E315" s="76">
        <v>4000</v>
      </c>
      <c r="F315" s="76">
        <v>4000</v>
      </c>
      <c r="G315" s="76">
        <v>3077.2</v>
      </c>
      <c r="H315" s="22">
        <f t="shared" si="8"/>
        <v>76.92999999999999</v>
      </c>
    </row>
    <row r="316" spans="1:8" ht="15">
      <c r="A316" s="21"/>
      <c r="B316" s="21">
        <v>3612</v>
      </c>
      <c r="C316" s="21">
        <v>2132</v>
      </c>
      <c r="D316" s="21" t="s">
        <v>241</v>
      </c>
      <c r="E316" s="76">
        <v>8600</v>
      </c>
      <c r="F316" s="76">
        <v>8600</v>
      </c>
      <c r="G316" s="76">
        <v>6430.3</v>
      </c>
      <c r="H316" s="22">
        <f t="shared" si="8"/>
        <v>74.77093023255814</v>
      </c>
    </row>
    <row r="317" spans="1:8" ht="15">
      <c r="A317" s="21"/>
      <c r="B317" s="21">
        <v>3612</v>
      </c>
      <c r="C317" s="21">
        <v>2322</v>
      </c>
      <c r="D317" s="21" t="s">
        <v>203</v>
      </c>
      <c r="E317" s="76">
        <v>0</v>
      </c>
      <c r="F317" s="76">
        <v>0</v>
      </c>
      <c r="G317" s="76">
        <v>93.8</v>
      </c>
      <c r="H317" s="22" t="e">
        <f t="shared" si="8"/>
        <v>#DIV/0!</v>
      </c>
    </row>
    <row r="318" spans="1:8" ht="15">
      <c r="A318" s="21"/>
      <c r="B318" s="21">
        <v>3612</v>
      </c>
      <c r="C318" s="21">
        <v>2324</v>
      </c>
      <c r="D318" s="21" t="s">
        <v>242</v>
      </c>
      <c r="E318" s="22">
        <v>0</v>
      </c>
      <c r="F318" s="22">
        <v>0</v>
      </c>
      <c r="G318" s="22">
        <v>988.1</v>
      </c>
      <c r="H318" s="22" t="e">
        <f t="shared" si="8"/>
        <v>#DIV/0!</v>
      </c>
    </row>
    <row r="319" spans="1:8" ht="15" hidden="1">
      <c r="A319" s="21"/>
      <c r="B319" s="21">
        <v>3612</v>
      </c>
      <c r="C319" s="21">
        <v>2329</v>
      </c>
      <c r="D319" s="21" t="s">
        <v>243</v>
      </c>
      <c r="E319" s="22"/>
      <c r="F319" s="22"/>
      <c r="G319" s="22"/>
      <c r="H319" s="22" t="e">
        <f t="shared" si="8"/>
        <v>#DIV/0!</v>
      </c>
    </row>
    <row r="320" spans="1:8" ht="15">
      <c r="A320" s="21"/>
      <c r="B320" s="21">
        <v>3612</v>
      </c>
      <c r="C320" s="21">
        <v>3112</v>
      </c>
      <c r="D320" s="21" t="s">
        <v>244</v>
      </c>
      <c r="E320" s="22">
        <v>4130</v>
      </c>
      <c r="F320" s="22">
        <v>4130</v>
      </c>
      <c r="G320" s="22">
        <v>808.2</v>
      </c>
      <c r="H320" s="22">
        <f t="shared" si="8"/>
        <v>19.56900726392252</v>
      </c>
    </row>
    <row r="321" spans="1:8" ht="15">
      <c r="A321" s="21"/>
      <c r="B321" s="21">
        <v>3613</v>
      </c>
      <c r="C321" s="21">
        <v>2111</v>
      </c>
      <c r="D321" s="21" t="s">
        <v>245</v>
      </c>
      <c r="E321" s="76">
        <v>1950</v>
      </c>
      <c r="F321" s="76">
        <v>1950</v>
      </c>
      <c r="G321" s="76">
        <v>1384.5</v>
      </c>
      <c r="H321" s="22">
        <f t="shared" si="8"/>
        <v>71</v>
      </c>
    </row>
    <row r="322" spans="1:8" ht="15">
      <c r="A322" s="21"/>
      <c r="B322" s="21">
        <v>3613</v>
      </c>
      <c r="C322" s="21">
        <v>2132</v>
      </c>
      <c r="D322" s="21" t="s">
        <v>246</v>
      </c>
      <c r="E322" s="76">
        <v>4800</v>
      </c>
      <c r="F322" s="76">
        <v>4800</v>
      </c>
      <c r="G322" s="76">
        <v>3858.6</v>
      </c>
      <c r="H322" s="22">
        <f t="shared" si="8"/>
        <v>80.3875</v>
      </c>
    </row>
    <row r="323" spans="1:8" ht="15" hidden="1">
      <c r="A323" s="24"/>
      <c r="B323" s="21">
        <v>3613</v>
      </c>
      <c r="C323" s="21">
        <v>2133</v>
      </c>
      <c r="D323" s="21" t="s">
        <v>247</v>
      </c>
      <c r="E323" s="22"/>
      <c r="F323" s="22"/>
      <c r="G323" s="22"/>
      <c r="H323" s="22" t="e">
        <f t="shared" si="8"/>
        <v>#DIV/0!</v>
      </c>
    </row>
    <row r="324" spans="1:8" ht="15" hidden="1">
      <c r="A324" s="24"/>
      <c r="B324" s="21">
        <v>3613</v>
      </c>
      <c r="C324" s="21">
        <v>2310</v>
      </c>
      <c r="D324" s="21" t="s">
        <v>248</v>
      </c>
      <c r="E324" s="22"/>
      <c r="F324" s="22"/>
      <c r="G324" s="22"/>
      <c r="H324" s="22" t="e">
        <f t="shared" si="8"/>
        <v>#DIV/0!</v>
      </c>
    </row>
    <row r="325" spans="1:8" ht="15" hidden="1">
      <c r="A325" s="24"/>
      <c r="B325" s="21">
        <v>3613</v>
      </c>
      <c r="C325" s="21">
        <v>2322</v>
      </c>
      <c r="D325" s="21" t="s">
        <v>249</v>
      </c>
      <c r="E325" s="22"/>
      <c r="F325" s="22"/>
      <c r="G325" s="22"/>
      <c r="H325" s="22" t="e">
        <f t="shared" si="8"/>
        <v>#DIV/0!</v>
      </c>
    </row>
    <row r="326" spans="1:8" ht="15">
      <c r="A326" s="24"/>
      <c r="B326" s="21">
        <v>3613</v>
      </c>
      <c r="C326" s="21">
        <v>2324</v>
      </c>
      <c r="D326" s="21" t="s">
        <v>250</v>
      </c>
      <c r="E326" s="22">
        <v>0</v>
      </c>
      <c r="F326" s="22">
        <v>0</v>
      </c>
      <c r="G326" s="22">
        <v>194.7</v>
      </c>
      <c r="H326" s="22" t="e">
        <f t="shared" si="8"/>
        <v>#DIV/0!</v>
      </c>
    </row>
    <row r="327" spans="1:8" ht="15">
      <c r="A327" s="24"/>
      <c r="B327" s="21">
        <v>3613</v>
      </c>
      <c r="C327" s="21">
        <v>3112</v>
      </c>
      <c r="D327" s="21" t="s">
        <v>251</v>
      </c>
      <c r="E327" s="22">
        <v>1327</v>
      </c>
      <c r="F327" s="22">
        <v>1327</v>
      </c>
      <c r="G327" s="22">
        <v>306.6</v>
      </c>
      <c r="H327" s="22">
        <f t="shared" si="8"/>
        <v>23.10474755086662</v>
      </c>
    </row>
    <row r="328" spans="1:8" ht="15">
      <c r="A328" s="24"/>
      <c r="B328" s="21">
        <v>3631</v>
      </c>
      <c r="C328" s="21">
        <v>2133</v>
      </c>
      <c r="D328" s="21" t="s">
        <v>252</v>
      </c>
      <c r="E328" s="22">
        <v>380</v>
      </c>
      <c r="F328" s="22">
        <v>380</v>
      </c>
      <c r="G328" s="22">
        <v>228.1</v>
      </c>
      <c r="H328" s="22">
        <f t="shared" si="8"/>
        <v>60.026315789473685</v>
      </c>
    </row>
    <row r="329" spans="1:8" ht="15">
      <c r="A329" s="24"/>
      <c r="B329" s="21">
        <v>3632</v>
      </c>
      <c r="C329" s="21">
        <v>2111</v>
      </c>
      <c r="D329" s="21" t="s">
        <v>253</v>
      </c>
      <c r="E329" s="22">
        <v>400</v>
      </c>
      <c r="F329" s="22">
        <v>400</v>
      </c>
      <c r="G329" s="22">
        <v>441.5</v>
      </c>
      <c r="H329" s="22">
        <f t="shared" si="8"/>
        <v>110.375</v>
      </c>
    </row>
    <row r="330" spans="1:8" ht="15">
      <c r="A330" s="24"/>
      <c r="B330" s="21">
        <v>3632</v>
      </c>
      <c r="C330" s="21">
        <v>2132</v>
      </c>
      <c r="D330" s="21" t="s">
        <v>254</v>
      </c>
      <c r="E330" s="22">
        <v>20</v>
      </c>
      <c r="F330" s="22">
        <v>20</v>
      </c>
      <c r="G330" s="22">
        <v>20</v>
      </c>
      <c r="H330" s="22">
        <f t="shared" si="8"/>
        <v>100</v>
      </c>
    </row>
    <row r="331" spans="1:8" ht="15">
      <c r="A331" s="24"/>
      <c r="B331" s="21">
        <v>3632</v>
      </c>
      <c r="C331" s="21">
        <v>2133</v>
      </c>
      <c r="D331" s="21" t="s">
        <v>255</v>
      </c>
      <c r="E331" s="22">
        <v>5</v>
      </c>
      <c r="F331" s="22">
        <v>5</v>
      </c>
      <c r="G331" s="22">
        <v>5</v>
      </c>
      <c r="H331" s="22">
        <f t="shared" si="8"/>
        <v>100</v>
      </c>
    </row>
    <row r="332" spans="1:8" ht="15">
      <c r="A332" s="24"/>
      <c r="B332" s="21">
        <v>3632</v>
      </c>
      <c r="C332" s="21">
        <v>2324</v>
      </c>
      <c r="D332" s="21" t="s">
        <v>256</v>
      </c>
      <c r="E332" s="22">
        <v>0</v>
      </c>
      <c r="F332" s="22">
        <v>0</v>
      </c>
      <c r="G332" s="22">
        <v>43.7</v>
      </c>
      <c r="H332" s="22" t="e">
        <f t="shared" si="8"/>
        <v>#DIV/0!</v>
      </c>
    </row>
    <row r="333" spans="1:8" ht="15">
      <c r="A333" s="24"/>
      <c r="B333" s="21">
        <v>3632</v>
      </c>
      <c r="C333" s="21">
        <v>2329</v>
      </c>
      <c r="D333" s="21" t="s">
        <v>257</v>
      </c>
      <c r="E333" s="22">
        <v>50</v>
      </c>
      <c r="F333" s="22">
        <v>50</v>
      </c>
      <c r="G333" s="22">
        <v>50.4</v>
      </c>
      <c r="H333" s="22">
        <f t="shared" si="8"/>
        <v>100.8</v>
      </c>
    </row>
    <row r="334" spans="1:8" ht="15">
      <c r="A334" s="24"/>
      <c r="B334" s="21">
        <v>3634</v>
      </c>
      <c r="C334" s="21">
        <v>2132</v>
      </c>
      <c r="D334" s="21" t="s">
        <v>258</v>
      </c>
      <c r="E334" s="22">
        <v>4171</v>
      </c>
      <c r="F334" s="22">
        <v>4171</v>
      </c>
      <c r="G334" s="22">
        <v>4157.5</v>
      </c>
      <c r="H334" s="22">
        <f t="shared" si="8"/>
        <v>99.67633660992567</v>
      </c>
    </row>
    <row r="335" spans="1:8" ht="15" hidden="1">
      <c r="A335" s="24"/>
      <c r="B335" s="21">
        <v>3636</v>
      </c>
      <c r="C335" s="21">
        <v>2131</v>
      </c>
      <c r="D335" s="21" t="s">
        <v>259</v>
      </c>
      <c r="E335" s="22"/>
      <c r="F335" s="22"/>
      <c r="G335" s="22"/>
      <c r="H335" s="22" t="e">
        <f t="shared" si="8"/>
        <v>#DIV/0!</v>
      </c>
    </row>
    <row r="336" spans="1:8" ht="15">
      <c r="A336" s="24"/>
      <c r="B336" s="21">
        <v>3639</v>
      </c>
      <c r="C336" s="21">
        <v>2119</v>
      </c>
      <c r="D336" s="21" t="s">
        <v>260</v>
      </c>
      <c r="E336" s="22">
        <v>100</v>
      </c>
      <c r="F336" s="22">
        <v>100</v>
      </c>
      <c r="G336" s="22">
        <v>524.2</v>
      </c>
      <c r="H336" s="22">
        <f t="shared" si="8"/>
        <v>524.2</v>
      </c>
    </row>
    <row r="337" spans="1:8" ht="15">
      <c r="A337" s="21"/>
      <c r="B337" s="21">
        <v>3639</v>
      </c>
      <c r="C337" s="21">
        <v>2131</v>
      </c>
      <c r="D337" s="21" t="s">
        <v>261</v>
      </c>
      <c r="E337" s="22">
        <v>1600</v>
      </c>
      <c r="F337" s="22">
        <v>1600</v>
      </c>
      <c r="G337" s="22">
        <v>1875.9</v>
      </c>
      <c r="H337" s="22">
        <f t="shared" si="8"/>
        <v>117.24375</v>
      </c>
    </row>
    <row r="338" spans="1:8" ht="15">
      <c r="A338" s="21"/>
      <c r="B338" s="21">
        <v>3639</v>
      </c>
      <c r="C338" s="21">
        <v>2132</v>
      </c>
      <c r="D338" s="21" t="s">
        <v>262</v>
      </c>
      <c r="E338" s="22">
        <v>18</v>
      </c>
      <c r="F338" s="22">
        <v>18</v>
      </c>
      <c r="G338" s="22">
        <v>11.5</v>
      </c>
      <c r="H338" s="22">
        <f t="shared" si="8"/>
        <v>63.888888888888886</v>
      </c>
    </row>
    <row r="339" spans="1:8" ht="15" customHeight="1">
      <c r="A339" s="21"/>
      <c r="B339" s="21">
        <v>3639</v>
      </c>
      <c r="C339" s="21">
        <v>2212</v>
      </c>
      <c r="D339" s="21" t="s">
        <v>263</v>
      </c>
      <c r="E339" s="22">
        <v>0</v>
      </c>
      <c r="F339" s="22">
        <v>0</v>
      </c>
      <c r="G339" s="22">
        <v>83.5</v>
      </c>
      <c r="H339" s="22" t="e">
        <f t="shared" si="8"/>
        <v>#DIV/0!</v>
      </c>
    </row>
    <row r="340" spans="1:8" ht="15">
      <c r="A340" s="21"/>
      <c r="B340" s="21">
        <v>3639</v>
      </c>
      <c r="C340" s="21">
        <v>2324</v>
      </c>
      <c r="D340" s="21" t="s">
        <v>264</v>
      </c>
      <c r="E340" s="22">
        <v>110.1</v>
      </c>
      <c r="F340" s="22">
        <v>110.1</v>
      </c>
      <c r="G340" s="22">
        <v>98.3</v>
      </c>
      <c r="H340" s="22">
        <f t="shared" si="8"/>
        <v>89.28247048138056</v>
      </c>
    </row>
    <row r="341" spans="1:8" ht="15">
      <c r="A341" s="21"/>
      <c r="B341" s="21">
        <v>3639</v>
      </c>
      <c r="C341" s="21">
        <v>2328</v>
      </c>
      <c r="D341" s="21" t="s">
        <v>265</v>
      </c>
      <c r="E341" s="22">
        <v>0</v>
      </c>
      <c r="F341" s="22">
        <v>0</v>
      </c>
      <c r="G341" s="22">
        <v>0</v>
      </c>
      <c r="H341" s="22" t="e">
        <f t="shared" si="8"/>
        <v>#DIV/0!</v>
      </c>
    </row>
    <row r="342" spans="1:8" ht="15" customHeight="1">
      <c r="A342" s="39"/>
      <c r="B342" s="39">
        <v>3639</v>
      </c>
      <c r="C342" s="39">
        <v>2329</v>
      </c>
      <c r="D342" s="39" t="s">
        <v>70</v>
      </c>
      <c r="E342" s="22">
        <v>0</v>
      </c>
      <c r="F342" s="22">
        <v>0</v>
      </c>
      <c r="G342" s="22">
        <v>0.5</v>
      </c>
      <c r="H342" s="22" t="e">
        <f t="shared" si="8"/>
        <v>#DIV/0!</v>
      </c>
    </row>
    <row r="343" spans="1:8" ht="15">
      <c r="A343" s="21"/>
      <c r="B343" s="21">
        <v>3639</v>
      </c>
      <c r="C343" s="21">
        <v>3111</v>
      </c>
      <c r="D343" s="21" t="s">
        <v>266</v>
      </c>
      <c r="E343" s="22">
        <v>214</v>
      </c>
      <c r="F343" s="22">
        <v>214</v>
      </c>
      <c r="G343" s="22">
        <v>425</v>
      </c>
      <c r="H343" s="22">
        <f t="shared" si="8"/>
        <v>198.5981308411215</v>
      </c>
    </row>
    <row r="344" spans="1:8" ht="15" hidden="1">
      <c r="A344" s="21"/>
      <c r="B344" s="21">
        <v>3639</v>
      </c>
      <c r="C344" s="21">
        <v>3112</v>
      </c>
      <c r="D344" s="21" t="s">
        <v>267</v>
      </c>
      <c r="E344" s="22"/>
      <c r="F344" s="22"/>
      <c r="G344" s="22"/>
      <c r="H344" s="22" t="e">
        <f t="shared" si="8"/>
        <v>#DIV/0!</v>
      </c>
    </row>
    <row r="345" spans="1:8" ht="15" hidden="1">
      <c r="A345" s="21"/>
      <c r="B345" s="21">
        <v>3639</v>
      </c>
      <c r="C345" s="21">
        <v>3113</v>
      </c>
      <c r="D345" s="21" t="s">
        <v>268</v>
      </c>
      <c r="E345" s="22"/>
      <c r="F345" s="22"/>
      <c r="G345" s="22"/>
      <c r="H345" s="22" t="e">
        <f t="shared" si="8"/>
        <v>#DIV/0!</v>
      </c>
    </row>
    <row r="346" spans="1:8" ht="15" customHeight="1">
      <c r="A346" s="39"/>
      <c r="B346" s="39">
        <v>3639</v>
      </c>
      <c r="C346" s="39">
        <v>3119</v>
      </c>
      <c r="D346" s="39" t="s">
        <v>269</v>
      </c>
      <c r="E346" s="22">
        <v>7200</v>
      </c>
      <c r="F346" s="22">
        <v>7200</v>
      </c>
      <c r="G346" s="22">
        <v>3000</v>
      </c>
      <c r="H346" s="22">
        <f t="shared" si="8"/>
        <v>41.66666666666667</v>
      </c>
    </row>
    <row r="347" spans="1:8" ht="15" hidden="1">
      <c r="A347" s="39"/>
      <c r="B347" s="39">
        <v>6171</v>
      </c>
      <c r="C347" s="39">
        <v>2131</v>
      </c>
      <c r="D347" s="39" t="s">
        <v>270</v>
      </c>
      <c r="E347" s="22"/>
      <c r="F347" s="22"/>
      <c r="G347" s="22"/>
      <c r="H347" s="22" t="e">
        <f t="shared" si="8"/>
        <v>#DIV/0!</v>
      </c>
    </row>
    <row r="348" spans="1:8" ht="15" hidden="1">
      <c r="A348" s="21"/>
      <c r="B348" s="21">
        <v>6171</v>
      </c>
      <c r="C348" s="21">
        <v>2324</v>
      </c>
      <c r="D348" s="21" t="s">
        <v>271</v>
      </c>
      <c r="E348" s="22"/>
      <c r="F348" s="22"/>
      <c r="G348" s="22"/>
      <c r="H348" s="22" t="e">
        <f t="shared" si="8"/>
        <v>#DIV/0!</v>
      </c>
    </row>
    <row r="349" spans="1:8" ht="15" hidden="1">
      <c r="A349" s="21"/>
      <c r="B349" s="21"/>
      <c r="C349" s="21"/>
      <c r="D349" s="21"/>
      <c r="E349" s="22"/>
      <c r="F349" s="22"/>
      <c r="G349" s="22"/>
      <c r="H349" s="22" t="e">
        <f t="shared" si="8"/>
        <v>#DIV/0!</v>
      </c>
    </row>
    <row r="350" spans="1:8" ht="15" customHeight="1">
      <c r="A350" s="39"/>
      <c r="B350" s="39">
        <v>6171</v>
      </c>
      <c r="C350" s="39">
        <v>2131</v>
      </c>
      <c r="D350" s="39" t="s">
        <v>272</v>
      </c>
      <c r="E350" s="22">
        <v>10</v>
      </c>
      <c r="F350" s="22">
        <v>10</v>
      </c>
      <c r="G350" s="22">
        <v>0</v>
      </c>
      <c r="H350" s="22">
        <f t="shared" si="8"/>
        <v>0</v>
      </c>
    </row>
    <row r="351" spans="1:8" ht="15" customHeight="1" hidden="1">
      <c r="A351" s="39"/>
      <c r="B351" s="39">
        <v>6171</v>
      </c>
      <c r="C351" s="39">
        <v>2133</v>
      </c>
      <c r="D351" s="39" t="s">
        <v>273</v>
      </c>
      <c r="E351" s="22"/>
      <c r="F351" s="22"/>
      <c r="G351" s="22"/>
      <c r="H351" s="22" t="e">
        <f t="shared" si="8"/>
        <v>#DIV/0!</v>
      </c>
    </row>
    <row r="352" spans="1:8" ht="15" customHeight="1" hidden="1">
      <c r="A352" s="21"/>
      <c r="B352" s="21">
        <v>6409</v>
      </c>
      <c r="C352" s="21">
        <v>2328</v>
      </c>
      <c r="D352" s="21" t="s">
        <v>274</v>
      </c>
      <c r="E352" s="22"/>
      <c r="F352" s="22"/>
      <c r="G352" s="22"/>
      <c r="H352" s="22" t="e">
        <f t="shared" si="8"/>
        <v>#DIV/0!</v>
      </c>
    </row>
    <row r="353" spans="1:8" ht="15" customHeight="1">
      <c r="A353" s="39"/>
      <c r="B353" s="39">
        <v>6409</v>
      </c>
      <c r="C353" s="39">
        <v>2328</v>
      </c>
      <c r="D353" s="39" t="s">
        <v>274</v>
      </c>
      <c r="E353" s="22">
        <v>0</v>
      </c>
      <c r="F353" s="22">
        <v>0</v>
      </c>
      <c r="G353" s="22">
        <v>0</v>
      </c>
      <c r="H353" s="22" t="e">
        <f t="shared" si="8"/>
        <v>#DIV/0!</v>
      </c>
    </row>
    <row r="354" spans="1:8" ht="15.75" customHeight="1" thickBot="1">
      <c r="A354" s="77"/>
      <c r="B354" s="77"/>
      <c r="C354" s="77"/>
      <c r="D354" s="77"/>
      <c r="E354" s="78"/>
      <c r="F354" s="78"/>
      <c r="G354" s="78"/>
      <c r="H354" s="78"/>
    </row>
    <row r="355" spans="1:8" s="32" customFormat="1" ht="22.5" customHeight="1" thickBot="1" thickTop="1">
      <c r="A355" s="62"/>
      <c r="B355" s="62"/>
      <c r="C355" s="62"/>
      <c r="D355" s="63" t="s">
        <v>275</v>
      </c>
      <c r="E355" s="64">
        <f>SUM(E313:E354)</f>
        <v>39085.1</v>
      </c>
      <c r="F355" s="64">
        <f>SUM(F313:F354)</f>
        <v>39085.1</v>
      </c>
      <c r="G355" s="64">
        <f>SUM(G313:G354)</f>
        <v>28107.600000000002</v>
      </c>
      <c r="H355" s="64">
        <f>(G355/F355)*100</f>
        <v>71.91384952321985</v>
      </c>
    </row>
    <row r="356" spans="1:8" ht="15" customHeight="1">
      <c r="A356" s="32"/>
      <c r="B356" s="51"/>
      <c r="C356" s="51"/>
      <c r="D356" s="51"/>
      <c r="E356" s="75"/>
      <c r="F356" s="75"/>
      <c r="G356" s="75"/>
      <c r="H356" s="75"/>
    </row>
    <row r="357" spans="1:8" ht="15" customHeight="1" hidden="1">
      <c r="A357" s="32"/>
      <c r="B357" s="51"/>
      <c r="C357" s="51"/>
      <c r="D357" s="51"/>
      <c r="E357" s="75"/>
      <c r="F357" s="75"/>
      <c r="G357" s="75"/>
      <c r="H357" s="75"/>
    </row>
    <row r="358" spans="1:8" ht="15" customHeight="1" hidden="1">
      <c r="A358" s="32"/>
      <c r="B358" s="51"/>
      <c r="C358" s="51"/>
      <c r="D358" s="51"/>
      <c r="E358" s="75"/>
      <c r="F358" s="75"/>
      <c r="G358" s="75"/>
      <c r="H358" s="75"/>
    </row>
    <row r="359" spans="1:8" ht="15" customHeight="1" hidden="1">
      <c r="A359" s="32"/>
      <c r="B359" s="51"/>
      <c r="C359" s="51"/>
      <c r="D359" s="51"/>
      <c r="E359" s="75"/>
      <c r="F359" s="75"/>
      <c r="G359" s="10"/>
      <c r="H359" s="10"/>
    </row>
    <row r="360" spans="1:8" ht="15" customHeight="1" hidden="1">
      <c r="A360" s="32"/>
      <c r="B360" s="51"/>
      <c r="C360" s="51"/>
      <c r="D360" s="51"/>
      <c r="E360" s="75"/>
      <c r="F360" s="75"/>
      <c r="G360" s="75"/>
      <c r="H360" s="75"/>
    </row>
    <row r="361" spans="1:8" ht="15" customHeight="1">
      <c r="A361" s="32"/>
      <c r="B361" s="51"/>
      <c r="C361" s="51"/>
      <c r="D361" s="51"/>
      <c r="E361" s="75"/>
      <c r="F361" s="75"/>
      <c r="G361" s="75"/>
      <c r="H361" s="75"/>
    </row>
    <row r="362" spans="1:8" ht="15" customHeight="1" thickBot="1">
      <c r="A362" s="32"/>
      <c r="B362" s="51"/>
      <c r="C362" s="51"/>
      <c r="D362" s="51"/>
      <c r="E362" s="75"/>
      <c r="F362" s="75"/>
      <c r="G362" s="75"/>
      <c r="H362" s="75"/>
    </row>
    <row r="363" spans="1:8" ht="15.75">
      <c r="A363" s="207" t="s">
        <v>25</v>
      </c>
      <c r="B363" s="207" t="s">
        <v>26</v>
      </c>
      <c r="C363" s="207" t="s">
        <v>27</v>
      </c>
      <c r="D363" s="208" t="s">
        <v>28</v>
      </c>
      <c r="E363" s="209" t="s">
        <v>29</v>
      </c>
      <c r="F363" s="209" t="s">
        <v>29</v>
      </c>
      <c r="G363" s="209" t="s">
        <v>8</v>
      </c>
      <c r="H363" s="209" t="s">
        <v>30</v>
      </c>
    </row>
    <row r="364" spans="1:8" ht="15.75" customHeight="1" thickBot="1">
      <c r="A364" s="210"/>
      <c r="B364" s="210"/>
      <c r="C364" s="210"/>
      <c r="D364" s="211"/>
      <c r="E364" s="212" t="s">
        <v>31</v>
      </c>
      <c r="F364" s="212" t="s">
        <v>32</v>
      </c>
      <c r="G364" s="213" t="s">
        <v>33</v>
      </c>
      <c r="H364" s="212" t="s">
        <v>34</v>
      </c>
    </row>
    <row r="365" spans="1:8" ht="16.5" thickTop="1">
      <c r="A365" s="18">
        <v>8888</v>
      </c>
      <c r="B365" s="18"/>
      <c r="C365" s="18"/>
      <c r="D365" s="19"/>
      <c r="E365" s="20"/>
      <c r="F365" s="20"/>
      <c r="G365" s="20"/>
      <c r="H365" s="20"/>
    </row>
    <row r="366" spans="1:8" ht="15">
      <c r="A366" s="21"/>
      <c r="B366" s="21">
        <v>6171</v>
      </c>
      <c r="C366" s="21">
        <v>2329</v>
      </c>
      <c r="D366" s="21" t="s">
        <v>276</v>
      </c>
      <c r="E366" s="22">
        <v>0</v>
      </c>
      <c r="F366" s="22">
        <v>0</v>
      </c>
      <c r="G366" s="22">
        <v>-272</v>
      </c>
      <c r="H366" s="22" t="e">
        <f>(G366/F366)*100</f>
        <v>#DIV/0!</v>
      </c>
    </row>
    <row r="367" spans="1:8" ht="15">
      <c r="A367" s="21"/>
      <c r="B367" s="21"/>
      <c r="C367" s="21"/>
      <c r="D367" s="21" t="s">
        <v>277</v>
      </c>
      <c r="E367" s="22"/>
      <c r="F367" s="22"/>
      <c r="G367" s="22"/>
      <c r="H367" s="22"/>
    </row>
    <row r="368" spans="1:8" ht="15.75" thickBot="1">
      <c r="A368" s="59"/>
      <c r="B368" s="59"/>
      <c r="C368" s="59"/>
      <c r="D368" s="59" t="s">
        <v>278</v>
      </c>
      <c r="E368" s="60"/>
      <c r="F368" s="60"/>
      <c r="G368" s="60"/>
      <c r="H368" s="60"/>
    </row>
    <row r="369" spans="1:8" s="32" customFormat="1" ht="22.5" customHeight="1" thickBot="1" thickTop="1">
      <c r="A369" s="62"/>
      <c r="B369" s="62"/>
      <c r="C369" s="62"/>
      <c r="D369" s="63" t="s">
        <v>279</v>
      </c>
      <c r="E369" s="64">
        <f>SUM(E366:E367)</f>
        <v>0</v>
      </c>
      <c r="F369" s="64">
        <f>SUM(F366:F367)</f>
        <v>0</v>
      </c>
      <c r="G369" s="64">
        <f>SUM(G366:G367)</f>
        <v>-272</v>
      </c>
      <c r="H369" s="64" t="e">
        <f>(G369/F369)*100</f>
        <v>#DIV/0!</v>
      </c>
    </row>
    <row r="370" spans="1:8" ht="15">
      <c r="A370" s="32"/>
      <c r="B370" s="51"/>
      <c r="C370" s="51"/>
      <c r="D370" s="51"/>
      <c r="E370" s="75"/>
      <c r="F370" s="75"/>
      <c r="G370" s="75"/>
      <c r="H370" s="75"/>
    </row>
    <row r="371" spans="1:8" ht="15" hidden="1">
      <c r="A371" s="32"/>
      <c r="B371" s="51"/>
      <c r="C371" s="51"/>
      <c r="D371" s="51"/>
      <c r="E371" s="75"/>
      <c r="F371" s="75"/>
      <c r="G371" s="75"/>
      <c r="H371" s="75"/>
    </row>
    <row r="372" spans="1:8" ht="15" hidden="1">
      <c r="A372" s="32"/>
      <c r="B372" s="51"/>
      <c r="C372" s="51"/>
      <c r="D372" s="51"/>
      <c r="E372" s="75"/>
      <c r="F372" s="75"/>
      <c r="G372" s="75"/>
      <c r="H372" s="75"/>
    </row>
    <row r="373" spans="1:8" ht="15" hidden="1">
      <c r="A373" s="32"/>
      <c r="B373" s="51"/>
      <c r="C373" s="51"/>
      <c r="D373" s="51"/>
      <c r="E373" s="75"/>
      <c r="F373" s="75"/>
      <c r="G373" s="75"/>
      <c r="H373" s="75"/>
    </row>
    <row r="374" spans="1:8" ht="15" hidden="1">
      <c r="A374" s="32"/>
      <c r="B374" s="51"/>
      <c r="C374" s="51"/>
      <c r="D374" s="51"/>
      <c r="E374" s="75"/>
      <c r="F374" s="75"/>
      <c r="G374" s="75"/>
      <c r="H374" s="75"/>
    </row>
    <row r="375" spans="1:8" ht="15" hidden="1">
      <c r="A375" s="32"/>
      <c r="B375" s="51"/>
      <c r="C375" s="51"/>
      <c r="D375" s="51"/>
      <c r="E375" s="75"/>
      <c r="F375" s="75"/>
      <c r="G375" s="75"/>
      <c r="H375" s="75"/>
    </row>
    <row r="376" spans="1:8" ht="15">
      <c r="A376" s="32"/>
      <c r="B376" s="51"/>
      <c r="C376" s="51"/>
      <c r="D376" s="51"/>
      <c r="E376" s="75"/>
      <c r="F376" s="75"/>
      <c r="G376" s="75"/>
      <c r="H376" s="75"/>
    </row>
    <row r="377" spans="1:8" ht="15" customHeight="1">
      <c r="A377" s="32"/>
      <c r="B377" s="51"/>
      <c r="C377" s="51"/>
      <c r="D377" s="51"/>
      <c r="E377" s="75"/>
      <c r="F377" s="75"/>
      <c r="G377" s="75"/>
      <c r="H377" s="75"/>
    </row>
    <row r="378" spans="1:8" ht="15" customHeight="1" thickBot="1">
      <c r="A378" s="32"/>
      <c r="B378" s="32"/>
      <c r="C378" s="32"/>
      <c r="D378" s="32"/>
      <c r="E378" s="33"/>
      <c r="F378" s="33"/>
      <c r="G378" s="33"/>
      <c r="H378" s="33"/>
    </row>
    <row r="379" spans="1:8" ht="15.75">
      <c r="A379" s="207" t="s">
        <v>25</v>
      </c>
      <c r="B379" s="207" t="s">
        <v>26</v>
      </c>
      <c r="C379" s="207" t="s">
        <v>27</v>
      </c>
      <c r="D379" s="208" t="s">
        <v>28</v>
      </c>
      <c r="E379" s="209" t="s">
        <v>29</v>
      </c>
      <c r="F379" s="209" t="s">
        <v>29</v>
      </c>
      <c r="G379" s="209" t="s">
        <v>8</v>
      </c>
      <c r="H379" s="209" t="s">
        <v>30</v>
      </c>
    </row>
    <row r="380" spans="1:8" ht="15.75" customHeight="1" thickBot="1">
      <c r="A380" s="210"/>
      <c r="B380" s="210"/>
      <c r="C380" s="210"/>
      <c r="D380" s="211"/>
      <c r="E380" s="212" t="s">
        <v>31</v>
      </c>
      <c r="F380" s="212" t="s">
        <v>32</v>
      </c>
      <c r="G380" s="213" t="s">
        <v>33</v>
      </c>
      <c r="H380" s="212" t="s">
        <v>34</v>
      </c>
    </row>
    <row r="381" spans="1:8" s="32" customFormat="1" ht="30.75" customHeight="1" thickBot="1" thickTop="1">
      <c r="A381" s="63"/>
      <c r="B381" s="79"/>
      <c r="C381" s="80"/>
      <c r="D381" s="81" t="s">
        <v>280</v>
      </c>
      <c r="E381" s="82">
        <f>SUM(E60,E105,E152,E180,E207,E231,E250,E270,E305,E355,E369)</f>
        <v>434937.1</v>
      </c>
      <c r="F381" s="82">
        <f>SUM(F60,F105,F152,F180,F207,F231,F250,F270,F305,F355,F369)</f>
        <v>435685.4</v>
      </c>
      <c r="G381" s="82">
        <f>SUM(G60,G105,G152,G180,G207,G231,G250,G270,G305,G355,G369)</f>
        <v>333225.79999999993</v>
      </c>
      <c r="H381" s="82">
        <f>(G381/F381)*100</f>
        <v>76.48312291391906</v>
      </c>
    </row>
    <row r="382" spans="1:8" ht="15" customHeight="1">
      <c r="A382" s="14"/>
      <c r="B382" s="83"/>
      <c r="C382" s="84"/>
      <c r="D382" s="85"/>
      <c r="E382" s="86"/>
      <c r="F382" s="86"/>
      <c r="G382" s="86"/>
      <c r="H382" s="86"/>
    </row>
    <row r="383" spans="1:8" ht="15" customHeight="1" hidden="1">
      <c r="A383" s="14"/>
      <c r="B383" s="83"/>
      <c r="C383" s="84"/>
      <c r="D383" s="85"/>
      <c r="E383" s="86"/>
      <c r="F383" s="86"/>
      <c r="G383" s="86"/>
      <c r="H383" s="86"/>
    </row>
    <row r="384" spans="1:8" ht="12.75" customHeight="1" hidden="1">
      <c r="A384" s="14"/>
      <c r="B384" s="83"/>
      <c r="C384" s="84"/>
      <c r="D384" s="85"/>
      <c r="E384" s="86"/>
      <c r="F384" s="86"/>
      <c r="G384" s="86"/>
      <c r="H384" s="86"/>
    </row>
    <row r="385" spans="1:8" ht="12.75" customHeight="1" hidden="1">
      <c r="A385" s="14"/>
      <c r="B385" s="83"/>
      <c r="C385" s="84"/>
      <c r="D385" s="85"/>
      <c r="E385" s="86"/>
      <c r="F385" s="86"/>
      <c r="G385" s="86"/>
      <c r="H385" s="86"/>
    </row>
    <row r="386" spans="1:8" ht="12.75" customHeight="1" hidden="1">
      <c r="A386" s="14"/>
      <c r="B386" s="83"/>
      <c r="C386" s="84"/>
      <c r="D386" s="85"/>
      <c r="E386" s="86"/>
      <c r="F386" s="86"/>
      <c r="G386" s="86"/>
      <c r="H386" s="86"/>
    </row>
    <row r="387" spans="1:8" ht="12.75" customHeight="1" hidden="1">
      <c r="A387" s="14"/>
      <c r="B387" s="83"/>
      <c r="C387" s="84"/>
      <c r="D387" s="85"/>
      <c r="E387" s="86"/>
      <c r="F387" s="86"/>
      <c r="G387" s="86"/>
      <c r="H387" s="86"/>
    </row>
    <row r="388" spans="1:8" ht="12.75" customHeight="1" hidden="1">
      <c r="A388" s="14"/>
      <c r="B388" s="83"/>
      <c r="C388" s="84"/>
      <c r="D388" s="85"/>
      <c r="E388" s="86"/>
      <c r="F388" s="86"/>
      <c r="G388" s="86"/>
      <c r="H388" s="86"/>
    </row>
    <row r="389" spans="1:8" ht="12.75" customHeight="1" hidden="1">
      <c r="A389" s="14"/>
      <c r="B389" s="83"/>
      <c r="C389" s="84"/>
      <c r="D389" s="85"/>
      <c r="E389" s="86"/>
      <c r="F389" s="86"/>
      <c r="G389" s="86"/>
      <c r="H389" s="86"/>
    </row>
    <row r="390" spans="1:8" ht="15" customHeight="1">
      <c r="A390" s="14"/>
      <c r="B390" s="83"/>
      <c r="C390" s="84"/>
      <c r="D390" s="85"/>
      <c r="E390" s="86"/>
      <c r="F390" s="86"/>
      <c r="G390" s="86"/>
      <c r="H390" s="86"/>
    </row>
    <row r="391" spans="1:8" ht="15" customHeight="1" thickBot="1">
      <c r="A391" s="14"/>
      <c r="B391" s="83"/>
      <c r="C391" s="84"/>
      <c r="D391" s="85"/>
      <c r="E391" s="87"/>
      <c r="F391" s="87"/>
      <c r="G391" s="87"/>
      <c r="H391" s="87"/>
    </row>
    <row r="392" spans="1:8" ht="15.75">
      <c r="A392" s="207" t="s">
        <v>25</v>
      </c>
      <c r="B392" s="207" t="s">
        <v>26</v>
      </c>
      <c r="C392" s="207" t="s">
        <v>27</v>
      </c>
      <c r="D392" s="208" t="s">
        <v>28</v>
      </c>
      <c r="E392" s="209" t="s">
        <v>29</v>
      </c>
      <c r="F392" s="209" t="s">
        <v>29</v>
      </c>
      <c r="G392" s="209" t="s">
        <v>8</v>
      </c>
      <c r="H392" s="209" t="s">
        <v>30</v>
      </c>
    </row>
    <row r="393" spans="1:8" ht="15.75" customHeight="1" thickBot="1">
      <c r="A393" s="210"/>
      <c r="B393" s="210"/>
      <c r="C393" s="210"/>
      <c r="D393" s="211"/>
      <c r="E393" s="212" t="s">
        <v>31</v>
      </c>
      <c r="F393" s="212" t="s">
        <v>32</v>
      </c>
      <c r="G393" s="213" t="s">
        <v>33</v>
      </c>
      <c r="H393" s="212" t="s">
        <v>34</v>
      </c>
    </row>
    <row r="394" spans="1:8" ht="16.5" customHeight="1" thickTop="1">
      <c r="A394" s="70">
        <v>110</v>
      </c>
      <c r="B394" s="70"/>
      <c r="C394" s="70"/>
      <c r="D394" s="88" t="s">
        <v>281</v>
      </c>
      <c r="E394" s="89"/>
      <c r="F394" s="89"/>
      <c r="G394" s="89"/>
      <c r="H394" s="89"/>
    </row>
    <row r="395" spans="1:8" ht="14.25" customHeight="1">
      <c r="A395" s="90"/>
      <c r="B395" s="90"/>
      <c r="C395" s="90"/>
      <c r="D395" s="14"/>
      <c r="E395" s="89"/>
      <c r="F395" s="89"/>
      <c r="G395" s="89"/>
      <c r="H395" s="89"/>
    </row>
    <row r="396" spans="1:8" ht="15" customHeight="1">
      <c r="A396" s="21"/>
      <c r="B396" s="21"/>
      <c r="C396" s="21">
        <v>8115</v>
      </c>
      <c r="D396" s="47" t="s">
        <v>282</v>
      </c>
      <c r="E396" s="91">
        <v>75633.4</v>
      </c>
      <c r="F396" s="214">
        <v>119242.8</v>
      </c>
      <c r="G396" s="214">
        <v>-26139.7</v>
      </c>
      <c r="H396" s="22">
        <f>(G396/F396)*100</f>
        <v>-21.92140741411641</v>
      </c>
    </row>
    <row r="397" spans="1:8" ht="15" hidden="1">
      <c r="A397" s="21"/>
      <c r="B397" s="21"/>
      <c r="C397" s="21">
        <v>8123</v>
      </c>
      <c r="D397" s="92" t="s">
        <v>283</v>
      </c>
      <c r="E397" s="25">
        <v>0</v>
      </c>
      <c r="F397" s="25"/>
      <c r="G397" s="25"/>
      <c r="H397" s="22" t="e">
        <f>(G397/F397)*100</f>
        <v>#DIV/0!</v>
      </c>
    </row>
    <row r="398" spans="1:8" ht="14.25" customHeight="1">
      <c r="A398" s="21"/>
      <c r="B398" s="21"/>
      <c r="C398" s="21">
        <v>8124</v>
      </c>
      <c r="D398" s="47" t="s">
        <v>284</v>
      </c>
      <c r="E398" s="22">
        <v>-18032</v>
      </c>
      <c r="F398" s="22">
        <v>-18032</v>
      </c>
      <c r="G398" s="22">
        <v>-13519.1</v>
      </c>
      <c r="H398" s="22">
        <f>(G398/F398)*100</f>
        <v>74.97282608695653</v>
      </c>
    </row>
    <row r="399" spans="1:8" ht="15" customHeight="1" hidden="1">
      <c r="A399" s="27"/>
      <c r="B399" s="27"/>
      <c r="C399" s="27">
        <v>8902</v>
      </c>
      <c r="D399" s="93" t="s">
        <v>285</v>
      </c>
      <c r="E399" s="28"/>
      <c r="F399" s="28"/>
      <c r="G399" s="28"/>
      <c r="H399" s="25" t="e">
        <f>(#REF!/F399)*100</f>
        <v>#REF!</v>
      </c>
    </row>
    <row r="400" spans="1:8" ht="14.25" customHeight="1" hidden="1">
      <c r="A400" s="21"/>
      <c r="B400" s="21"/>
      <c r="C400" s="21">
        <v>8905</v>
      </c>
      <c r="D400" s="47" t="s">
        <v>286</v>
      </c>
      <c r="E400" s="22"/>
      <c r="F400" s="22"/>
      <c r="G400" s="22"/>
      <c r="H400" s="22" t="e">
        <f>(#REF!/F400)*100</f>
        <v>#REF!</v>
      </c>
    </row>
    <row r="401" spans="1:8" ht="15" customHeight="1" thickBot="1">
      <c r="A401" s="59"/>
      <c r="B401" s="59"/>
      <c r="C401" s="59"/>
      <c r="D401" s="58"/>
      <c r="E401" s="60"/>
      <c r="F401" s="60"/>
      <c r="G401" s="60"/>
      <c r="H401" s="60"/>
    </row>
    <row r="402" spans="1:8" s="32" customFormat="1" ht="22.5" customHeight="1" thickBot="1" thickTop="1">
      <c r="A402" s="62"/>
      <c r="B402" s="62"/>
      <c r="C402" s="62"/>
      <c r="D402" s="94" t="s">
        <v>287</v>
      </c>
      <c r="E402" s="64">
        <f>SUM(E396:E400)</f>
        <v>57601.399999999994</v>
      </c>
      <c r="F402" s="64">
        <f>SUM(F396:F400)</f>
        <v>101210.8</v>
      </c>
      <c r="G402" s="64">
        <f>SUM(G396:G400)</f>
        <v>-39658.8</v>
      </c>
      <c r="H402" s="64">
        <f>(G402/F402)*100</f>
        <v>-39.184355819734655</v>
      </c>
    </row>
    <row r="403" spans="1:8" s="32" customFormat="1" ht="22.5" customHeight="1">
      <c r="A403" s="51"/>
      <c r="B403" s="51"/>
      <c r="C403" s="51"/>
      <c r="D403" s="14"/>
      <c r="E403" s="52"/>
      <c r="F403" s="95"/>
      <c r="G403" s="52"/>
      <c r="H403" s="52"/>
    </row>
    <row r="404" spans="1:8" ht="15" customHeight="1">
      <c r="A404" s="32" t="s">
        <v>288</v>
      </c>
      <c r="B404" s="32"/>
      <c r="C404" s="32"/>
      <c r="D404" s="14"/>
      <c r="E404" s="52"/>
      <c r="F404" s="95"/>
      <c r="G404" s="52"/>
      <c r="H404" s="52"/>
    </row>
    <row r="405" spans="1:8" ht="15">
      <c r="A405" s="51"/>
      <c r="B405" s="32"/>
      <c r="C405" s="51"/>
      <c r="D405" s="32"/>
      <c r="E405" s="33"/>
      <c r="F405" s="96"/>
      <c r="G405" s="33"/>
      <c r="H405" s="33"/>
    </row>
    <row r="406" spans="1:8" ht="15">
      <c r="A406" s="51"/>
      <c r="B406" s="51"/>
      <c r="C406" s="51"/>
      <c r="D406" s="32"/>
      <c r="E406" s="33"/>
      <c r="F406" s="33"/>
      <c r="G406" s="33"/>
      <c r="H406" s="33"/>
    </row>
    <row r="407" spans="1:8" ht="15" hidden="1">
      <c r="A407" s="97"/>
      <c r="B407" s="97"/>
      <c r="C407" s="97"/>
      <c r="D407" s="98" t="s">
        <v>289</v>
      </c>
      <c r="E407" s="99" t="e">
        <f>SUM(E14,#REF!,#REF!,E240,E264,E296,#REF!)</f>
        <v>#REF!</v>
      </c>
      <c r="F407" s="99"/>
      <c r="G407" s="99"/>
      <c r="H407" s="99"/>
    </row>
    <row r="408" spans="1:8" ht="15">
      <c r="A408" s="97"/>
      <c r="B408" s="97"/>
      <c r="C408" s="97"/>
      <c r="D408" s="100" t="s">
        <v>290</v>
      </c>
      <c r="E408" s="101">
        <f>E381+E402</f>
        <v>492538.5</v>
      </c>
      <c r="F408" s="101">
        <f>F381+F402</f>
        <v>536896.2000000001</v>
      </c>
      <c r="G408" s="101">
        <f>G381+G402</f>
        <v>293566.99999999994</v>
      </c>
      <c r="H408" s="22">
        <f>(G408/F408)*100</f>
        <v>54.678539352671876</v>
      </c>
    </row>
    <row r="409" spans="1:8" ht="15" hidden="1">
      <c r="A409" s="97"/>
      <c r="B409" s="97"/>
      <c r="C409" s="97"/>
      <c r="D409" s="100" t="s">
        <v>291</v>
      </c>
      <c r="E409" s="101"/>
      <c r="F409" s="101"/>
      <c r="G409" s="101"/>
      <c r="H409" s="101"/>
    </row>
    <row r="410" spans="1:8" ht="15" hidden="1">
      <c r="A410" s="97"/>
      <c r="B410" s="97"/>
      <c r="C410" s="97"/>
      <c r="D410" s="97" t="s">
        <v>292</v>
      </c>
      <c r="E410" s="102">
        <f>SUM(E267,E320,E327,E343,E346)</f>
        <v>12871</v>
      </c>
      <c r="F410" s="102"/>
      <c r="G410" s="102"/>
      <c r="H410" s="102"/>
    </row>
    <row r="411" spans="1:8" ht="15" hidden="1">
      <c r="A411" s="98"/>
      <c r="B411" s="98"/>
      <c r="C411" s="98"/>
      <c r="D411" s="98" t="s">
        <v>293</v>
      </c>
      <c r="E411" s="99"/>
      <c r="F411" s="99"/>
      <c r="G411" s="99"/>
      <c r="H411" s="99"/>
    </row>
    <row r="412" spans="1:8" ht="15" hidden="1">
      <c r="A412" s="98"/>
      <c r="B412" s="98"/>
      <c r="C412" s="98"/>
      <c r="D412" s="98" t="s">
        <v>292</v>
      </c>
      <c r="E412" s="99"/>
      <c r="F412" s="99"/>
      <c r="G412" s="99"/>
      <c r="H412" s="99"/>
    </row>
    <row r="413" spans="1:8" ht="15" hidden="1">
      <c r="A413" s="98"/>
      <c r="B413" s="98"/>
      <c r="C413" s="98"/>
      <c r="D413" s="98"/>
      <c r="E413" s="99"/>
      <c r="F413" s="99"/>
      <c r="G413" s="99"/>
      <c r="H413" s="99"/>
    </row>
    <row r="414" spans="1:8" ht="15" hidden="1">
      <c r="A414" s="98"/>
      <c r="B414" s="98"/>
      <c r="C414" s="98"/>
      <c r="D414" s="98" t="s">
        <v>294</v>
      </c>
      <c r="E414" s="99"/>
      <c r="F414" s="99"/>
      <c r="G414" s="99"/>
      <c r="H414" s="99"/>
    </row>
    <row r="415" spans="1:8" ht="15" hidden="1">
      <c r="A415" s="98"/>
      <c r="B415" s="98"/>
      <c r="C415" s="98"/>
      <c r="D415" s="98" t="s">
        <v>295</v>
      </c>
      <c r="E415" s="99"/>
      <c r="F415" s="99"/>
      <c r="G415" s="99"/>
      <c r="H415" s="99"/>
    </row>
    <row r="416" spans="1:8" ht="15" hidden="1">
      <c r="A416" s="98"/>
      <c r="B416" s="98"/>
      <c r="C416" s="98"/>
      <c r="D416" s="98" t="s">
        <v>296</v>
      </c>
      <c r="E416" s="99" t="e">
        <f>SUM(E9,E10,#REF!,#REF!,#REF!,E161,E191,E192,E193,E194,E195,#REF!,E218,E220,E265,E279,E280,E281,E282,E283,E284,#REF!,#REF!,E290,E292,E293,E294)</f>
        <v>#REF!</v>
      </c>
      <c r="F416" s="99"/>
      <c r="G416" s="99"/>
      <c r="H416" s="99"/>
    </row>
    <row r="417" spans="1:8" ht="15.75" hidden="1">
      <c r="A417" s="98"/>
      <c r="B417" s="98"/>
      <c r="C417" s="98"/>
      <c r="D417" s="103" t="s">
        <v>297</v>
      </c>
      <c r="E417" s="104">
        <v>0</v>
      </c>
      <c r="F417" s="104"/>
      <c r="G417" s="104"/>
      <c r="H417" s="104"/>
    </row>
    <row r="418" spans="1:8" ht="15" hidden="1">
      <c r="A418" s="98"/>
      <c r="B418" s="98"/>
      <c r="C418" s="98"/>
      <c r="D418" s="98"/>
      <c r="E418" s="99"/>
      <c r="F418" s="99"/>
      <c r="G418" s="99"/>
      <c r="H418" s="99"/>
    </row>
    <row r="419" spans="1:8" ht="15" hidden="1">
      <c r="A419" s="98"/>
      <c r="B419" s="98"/>
      <c r="C419" s="98"/>
      <c r="D419" s="98"/>
      <c r="E419" s="99"/>
      <c r="F419" s="99"/>
      <c r="G419" s="99"/>
      <c r="H419" s="99"/>
    </row>
    <row r="420" spans="1:8" ht="15">
      <c r="A420" s="98"/>
      <c r="B420" s="98"/>
      <c r="C420" s="98"/>
      <c r="D420" s="98"/>
      <c r="E420" s="99"/>
      <c r="F420" s="99"/>
      <c r="G420" s="99"/>
      <c r="H420" s="99"/>
    </row>
    <row r="421" spans="1:8" ht="15">
      <c r="A421" s="98"/>
      <c r="B421" s="98"/>
      <c r="C421" s="98"/>
      <c r="D421" s="98"/>
      <c r="E421" s="99"/>
      <c r="F421" s="99"/>
      <c r="G421" s="99"/>
      <c r="H421" s="99"/>
    </row>
    <row r="422" spans="1:8" ht="15.75" hidden="1">
      <c r="A422" s="98"/>
      <c r="B422" s="98"/>
      <c r="C422" s="98"/>
      <c r="D422" s="98" t="s">
        <v>293</v>
      </c>
      <c r="E422" s="104" t="e">
        <f>SUM(E9,E10,#REF!,#REF!,#REF!,E119,E161,E191,E192,E193,E194,E195,#REF!,E218,E219,E220,E264,E279,E280,E281,E282,E283,E284,#REF!,#REF!,E290,E292,E293,E294)</f>
        <v>#REF!</v>
      </c>
      <c r="F422" s="104" t="e">
        <f>SUM(F9,F10,#REF!,#REF!,#REF!,F119,F161,F191,F192,F193,F194,F195,#REF!,F218,F219,F220,F264,F279,F280,F281,F282,F283,F284,#REF!,#REF!,F290,F292,F293,F294)</f>
        <v>#REF!</v>
      </c>
      <c r="G422" s="104" t="e">
        <f>SUM(G9,G10,#REF!,#REF!,#REF!,G119,G161,G191,G192,G193,G194,G195,#REF!,G218,G219,G220,G264,G279,G280,G281,G282,G283,G284,#REF!,#REF!,G290,G292,G293,G294)</f>
        <v>#REF!</v>
      </c>
      <c r="H422" s="104" t="e">
        <f>SUM(H9,H10,#REF!,#REF!,#REF!,H119,H161,H191,H192,H193,H194,H195,#REF!,H218,H219,H220,H264,H279,H280,H281,H282,H283,H284,#REF!,#REF!,H290,H292,H293,H294)</f>
        <v>#REF!</v>
      </c>
    </row>
    <row r="423" spans="1:8" ht="15" hidden="1">
      <c r="A423" s="98"/>
      <c r="B423" s="98"/>
      <c r="C423" s="98"/>
      <c r="D423" s="98" t="s">
        <v>298</v>
      </c>
      <c r="E423" s="99">
        <f>SUM(E279,E280,E281,E282,E284)</f>
        <v>205700</v>
      </c>
      <c r="F423" s="99">
        <f>SUM(F279,F280,F281,F282,F284)</f>
        <v>205700</v>
      </c>
      <c r="G423" s="99">
        <f>SUM(G279,G280,G281,G282,G284)</f>
        <v>168571.7</v>
      </c>
      <c r="H423" s="99">
        <f>SUM(H279,H280,H281,H282,H284)</f>
        <v>393.73405565985263</v>
      </c>
    </row>
    <row r="424" spans="1:8" ht="15" hidden="1">
      <c r="A424" s="98"/>
      <c r="B424" s="98"/>
      <c r="C424" s="98"/>
      <c r="D424" s="98" t="s">
        <v>299</v>
      </c>
      <c r="E424" s="99" t="e">
        <f>SUM(E9,#REF!,#REF!,#REF!,#REF!,#REF!,E290)</f>
        <v>#REF!</v>
      </c>
      <c r="F424" s="99" t="e">
        <f>SUM(F9,#REF!,#REF!,#REF!,#REF!,#REF!,F290)</f>
        <v>#REF!</v>
      </c>
      <c r="G424" s="99" t="e">
        <f>SUM(G9,#REF!,#REF!,#REF!,#REF!,#REF!,G290)</f>
        <v>#REF!</v>
      </c>
      <c r="H424" s="99" t="e">
        <f>SUM(H9,#REF!,#REF!,#REF!,#REF!,#REF!,H290)</f>
        <v>#REF!</v>
      </c>
    </row>
    <row r="425" spans="1:8" ht="15" hidden="1">
      <c r="A425" s="98"/>
      <c r="B425" s="98"/>
      <c r="C425" s="98"/>
      <c r="D425" s="98" t="s">
        <v>300</v>
      </c>
      <c r="E425" s="99" t="e">
        <f>SUM(E10,E119,E161,E195,#REF!,E220,E264,E293)</f>
        <v>#REF!</v>
      </c>
      <c r="F425" s="99" t="e">
        <f>SUM(F10,F119,F161,F195,#REF!,F220,F264,F293)</f>
        <v>#REF!</v>
      </c>
      <c r="G425" s="99" t="e">
        <f>SUM(G10,G119,G161,G195,#REF!,G220,G264,G293)</f>
        <v>#REF!</v>
      </c>
      <c r="H425" s="99" t="e">
        <f>SUM(H10,H119,H161,H195,#REF!,H220,H264,H293)</f>
        <v>#REF!</v>
      </c>
    </row>
    <row r="426" spans="1:8" ht="15" hidden="1">
      <c r="A426" s="98"/>
      <c r="B426" s="98"/>
      <c r="C426" s="98"/>
      <c r="D426" s="98" t="s">
        <v>301</v>
      </c>
      <c r="E426" s="99"/>
      <c r="F426" s="99"/>
      <c r="G426" s="99"/>
      <c r="H426" s="99"/>
    </row>
    <row r="427" spans="1:8" ht="15" hidden="1">
      <c r="A427" s="98"/>
      <c r="B427" s="98"/>
      <c r="C427" s="98"/>
      <c r="D427" s="98" t="s">
        <v>302</v>
      </c>
      <c r="E427" s="99" t="e">
        <f>+E381-E422-E430-E431</f>
        <v>#REF!</v>
      </c>
      <c r="F427" s="99" t="e">
        <f>+F381-F422-F430-F431</f>
        <v>#REF!</v>
      </c>
      <c r="G427" s="99" t="e">
        <f>+G381-G422-G430-G431</f>
        <v>#REF!</v>
      </c>
      <c r="H427" s="99" t="e">
        <f>+H381-H422-H430-H431</f>
        <v>#REF!</v>
      </c>
    </row>
    <row r="428" spans="1:8" ht="15" hidden="1">
      <c r="A428" s="98"/>
      <c r="B428" s="98"/>
      <c r="C428" s="98"/>
      <c r="D428" s="98" t="s">
        <v>303</v>
      </c>
      <c r="E428" s="99" t="e">
        <f>SUM(E28,E40,E51,E53,#REF!,#REF!,#REF!,E136,#REF!,E140,E314,E322,E334,E337)</f>
        <v>#REF!</v>
      </c>
      <c r="F428" s="99" t="e">
        <f>SUM(F28,F40,F51,F53,#REF!,#REF!,#REF!,F136,#REF!,F140,F314,F322,F334,F337)</f>
        <v>#REF!</v>
      </c>
      <c r="G428" s="99" t="e">
        <f>SUM(G28,G40,G51,G53,#REF!,#REF!,#REF!,G136,#REF!,G140,G314,G322,G334,G337)</f>
        <v>#REF!</v>
      </c>
      <c r="H428" s="99" t="e">
        <f>SUM(H28,H40,H51,H53,#REF!,#REF!,#REF!,H136,#REF!,H140,H314,H322,H334,H337)</f>
        <v>#REF!</v>
      </c>
    </row>
    <row r="429" spans="1:8" ht="15" hidden="1">
      <c r="A429" s="98"/>
      <c r="B429" s="98"/>
      <c r="C429" s="98"/>
      <c r="D429" s="98" t="s">
        <v>304</v>
      </c>
      <c r="E429" s="99" t="e">
        <f>SUM(E100,#REF!,E177,E203,#REF!,E226,E242,E266)</f>
        <v>#REF!</v>
      </c>
      <c r="F429" s="99" t="e">
        <f>SUM(F100,#REF!,F177,F203,#REF!,F226,F242,F266)</f>
        <v>#REF!</v>
      </c>
      <c r="G429" s="99" t="e">
        <f>SUM(G100,#REF!,G177,G203,#REF!,G226,G242,G266)</f>
        <v>#REF!</v>
      </c>
      <c r="H429" s="99" t="e">
        <f>SUM(H100,#REF!,H177,H203,#REF!,H226,H242,H266)</f>
        <v>#REF!</v>
      </c>
    </row>
    <row r="430" spans="1:8" ht="15" hidden="1">
      <c r="A430" s="98"/>
      <c r="B430" s="98"/>
      <c r="C430" s="98"/>
      <c r="D430" s="98" t="s">
        <v>292</v>
      </c>
      <c r="E430" s="99" t="e">
        <f>SUM(#REF!,E267,E320,E327,E343,E346)</f>
        <v>#REF!</v>
      </c>
      <c r="F430" s="99" t="e">
        <f>SUM(#REF!,F267,F320,F327,F343,F346)</f>
        <v>#REF!</v>
      </c>
      <c r="G430" s="99" t="e">
        <f>SUM(#REF!,G267,G320,G327,G343,G346)</f>
        <v>#REF!</v>
      </c>
      <c r="H430" s="99" t="e">
        <f>SUM(#REF!,H267,H320,H327,H343,H346)</f>
        <v>#REF!</v>
      </c>
    </row>
    <row r="431" spans="1:8" ht="15" hidden="1">
      <c r="A431" s="98"/>
      <c r="B431" s="98"/>
      <c r="C431" s="98"/>
      <c r="D431" s="98" t="s">
        <v>294</v>
      </c>
      <c r="E431" s="99" t="e">
        <f>SUM(E11,E14,E18,E82,#REF!,#REF!,#REF!,#REF!,E102,#REF!,#REF!,#REF!,#REF!,#REF!,#REF!,#REF!,E126,#REF!,E127,#REF!,E128,E130,#REF!,#REF!,#REF!,E197,E240,E265,E296)</f>
        <v>#REF!</v>
      </c>
      <c r="F431" s="99" t="e">
        <f>SUM(F11,F14,F18,F82,#REF!,#REF!,#REF!,#REF!,F102,#REF!,#REF!,#REF!,#REF!,#REF!,#REF!,#REF!,F126,#REF!,F127,#REF!,F128,F130,#REF!,#REF!,#REF!,F197,F240,F265,F296)</f>
        <v>#REF!</v>
      </c>
      <c r="G431" s="99" t="e">
        <f>SUM(G11,G14,G18,G82,#REF!,#REF!,#REF!,#REF!,G102,#REF!,#REF!,#REF!,#REF!,#REF!,#REF!,#REF!,G126,#REF!,G127,#REF!,G128,G130,#REF!,#REF!,#REF!,G197,G240,G265,G296)</f>
        <v>#REF!</v>
      </c>
      <c r="H431" s="99" t="e">
        <f>SUM(H11,H14,H18,H82,#REF!,#REF!,#REF!,#REF!,H102,#REF!,#REF!,#REF!,#REF!,#REF!,#REF!,#REF!,H126,#REF!,H127,#REF!,H128,H130,#REF!,#REF!,#REF!,H197,H240,H265,H296)</f>
        <v>#REF!</v>
      </c>
    </row>
    <row r="432" spans="1:8" ht="15" hidden="1">
      <c r="A432" s="98"/>
      <c r="B432" s="98"/>
      <c r="C432" s="98"/>
      <c r="D432" s="98"/>
      <c r="E432" s="99"/>
      <c r="F432" s="99"/>
      <c r="G432" s="99"/>
      <c r="H432" s="99"/>
    </row>
    <row r="433" spans="1:8" ht="15" hidden="1">
      <c r="A433" s="98"/>
      <c r="B433" s="98"/>
      <c r="C433" s="98"/>
      <c r="D433" s="98"/>
      <c r="E433" s="99"/>
      <c r="F433" s="99"/>
      <c r="G433" s="99"/>
      <c r="H433" s="99"/>
    </row>
    <row r="434" spans="1:8" ht="15" hidden="1">
      <c r="A434" s="98"/>
      <c r="B434" s="98"/>
      <c r="C434" s="98"/>
      <c r="D434" s="98"/>
      <c r="E434" s="99">
        <f>SUM(E317,E320,E327,E343,E346)</f>
        <v>12871</v>
      </c>
      <c r="F434" s="99">
        <f>SUM(F317,F320,F327,F343,F346)</f>
        <v>12871</v>
      </c>
      <c r="G434" s="99">
        <f>SUM(G317,G320,G327,G343,G346)</f>
        <v>4633.6</v>
      </c>
      <c r="H434" s="99" t="e">
        <f>SUM(H317,H320,H327,H343,H346)</f>
        <v>#DIV/0!</v>
      </c>
    </row>
    <row r="435" spans="1:8" ht="15" hidden="1">
      <c r="A435" s="98"/>
      <c r="B435" s="98"/>
      <c r="C435" s="98"/>
      <c r="D435" s="98"/>
      <c r="E435" s="99" t="e">
        <f>SUM(#REF!,#REF!,E102,#REF!,#REF!,#REF!,#REF!,#REF!,#REF!,E265)</f>
        <v>#REF!</v>
      </c>
      <c r="F435" s="99" t="e">
        <f>SUM(#REF!,#REF!,F102,#REF!,#REF!,#REF!,#REF!,#REF!,#REF!,F265)</f>
        <v>#REF!</v>
      </c>
      <c r="G435" s="99" t="e">
        <f>SUM(#REF!,#REF!,G102,#REF!,#REF!,#REF!,#REF!,#REF!,#REF!,G265)</f>
        <v>#REF!</v>
      </c>
      <c r="H435" s="99" t="e">
        <f>SUM(#REF!,#REF!,H102,#REF!,#REF!,#REF!,#REF!,#REF!,#REF!,H265)</f>
        <v>#REF!</v>
      </c>
    </row>
    <row r="436" spans="1:8" ht="15" hidden="1">
      <c r="A436" s="98"/>
      <c r="B436" s="98"/>
      <c r="C436" s="98"/>
      <c r="D436" s="98"/>
      <c r="E436" s="99"/>
      <c r="F436" s="99"/>
      <c r="G436" s="99"/>
      <c r="H436" s="99"/>
    </row>
    <row r="437" spans="1:8" ht="15" hidden="1">
      <c r="A437" s="98"/>
      <c r="B437" s="98"/>
      <c r="C437" s="98"/>
      <c r="D437" s="98"/>
      <c r="E437" s="99" t="e">
        <f>SUM(E434:E436)</f>
        <v>#REF!</v>
      </c>
      <c r="F437" s="99" t="e">
        <f>SUM(F434:F436)</f>
        <v>#REF!</v>
      </c>
      <c r="G437" s="99" t="e">
        <f>SUM(G434:G436)</f>
        <v>#REF!</v>
      </c>
      <c r="H437" s="99" t="e">
        <f>SUM(H434:H436)</f>
        <v>#DIV/0!</v>
      </c>
    </row>
    <row r="438" spans="1:8" ht="15">
      <c r="A438" s="98"/>
      <c r="B438" s="98"/>
      <c r="C438" s="98"/>
      <c r="D438" s="98"/>
      <c r="E438" s="99"/>
      <c r="F438" s="99"/>
      <c r="G438" s="99"/>
      <c r="H438" s="99"/>
    </row>
    <row r="439" spans="1:8" ht="15">
      <c r="A439" s="98"/>
      <c r="B439" s="98"/>
      <c r="C439" s="98"/>
      <c r="D439" s="98"/>
      <c r="E439" s="99"/>
      <c r="F439" s="99"/>
      <c r="G439" s="99"/>
      <c r="H439" s="99"/>
    </row>
    <row r="440" spans="1:8" ht="15">
      <c r="A440" s="98"/>
      <c r="B440" s="98"/>
      <c r="C440" s="98"/>
      <c r="D440" s="98"/>
      <c r="E440" s="99"/>
      <c r="F440" s="99"/>
      <c r="G440" s="99"/>
      <c r="H440" s="99"/>
    </row>
    <row r="441" spans="1:8" ht="15">
      <c r="A441" s="98"/>
      <c r="B441" s="98"/>
      <c r="C441" s="98"/>
      <c r="D441" s="98"/>
      <c r="E441" s="99"/>
      <c r="F441" s="99"/>
      <c r="G441" s="99"/>
      <c r="H441" s="99"/>
    </row>
    <row r="442" spans="1:8" ht="15">
      <c r="A442" s="98"/>
      <c r="B442" s="98"/>
      <c r="C442" s="98"/>
      <c r="D442" s="98"/>
      <c r="E442" s="99"/>
      <c r="F442" s="99"/>
      <c r="G442" s="99"/>
      <c r="H442" s="99"/>
    </row>
    <row r="443" spans="1:8" ht="15">
      <c r="A443" s="98"/>
      <c r="B443" s="98"/>
      <c r="C443" s="98"/>
      <c r="D443" s="98"/>
      <c r="E443" s="99"/>
      <c r="F443" s="99"/>
      <c r="G443" s="99"/>
      <c r="H443" s="99"/>
    </row>
    <row r="444" spans="1:8" ht="15">
      <c r="A444" s="98"/>
      <c r="B444" s="98"/>
      <c r="C444" s="98"/>
      <c r="D444" s="98"/>
      <c r="E444" s="99"/>
      <c r="F444" s="99"/>
      <c r="G444" s="99"/>
      <c r="H444" s="99"/>
    </row>
    <row r="445" spans="1:8" ht="15">
      <c r="A445" s="98"/>
      <c r="B445" s="98"/>
      <c r="C445" s="98"/>
      <c r="D445" s="98"/>
      <c r="E445" s="99"/>
      <c r="F445" s="99"/>
      <c r="G445" s="99"/>
      <c r="H445" s="99"/>
    </row>
    <row r="446" spans="1:8" ht="15">
      <c r="A446" s="98"/>
      <c r="B446" s="98"/>
      <c r="C446" s="98"/>
      <c r="D446" s="98"/>
      <c r="E446" s="99"/>
      <c r="F446" s="99"/>
      <c r="G446" s="99"/>
      <c r="H446" s="99"/>
    </row>
    <row r="447" spans="1:8" ht="15">
      <c r="A447" s="98"/>
      <c r="B447" s="98"/>
      <c r="C447" s="98"/>
      <c r="D447" s="98"/>
      <c r="E447" s="99"/>
      <c r="F447" s="99"/>
      <c r="G447" s="99"/>
      <c r="H447" s="99"/>
    </row>
    <row r="448" spans="1:8" ht="15">
      <c r="A448" s="98"/>
      <c r="B448" s="98"/>
      <c r="C448" s="98"/>
      <c r="D448" s="98"/>
      <c r="E448" s="99"/>
      <c r="F448" s="99"/>
      <c r="G448" s="99"/>
      <c r="H448" s="99"/>
    </row>
    <row r="449" spans="1:8" ht="15">
      <c r="A449" s="98"/>
      <c r="B449" s="98"/>
      <c r="C449" s="98"/>
      <c r="D449" s="98"/>
      <c r="E449" s="99"/>
      <c r="F449" s="99"/>
      <c r="G449" s="99"/>
      <c r="H449" s="99"/>
    </row>
    <row r="450" spans="1:8" ht="15">
      <c r="A450" s="98"/>
      <c r="B450" s="98"/>
      <c r="C450" s="98"/>
      <c r="D450" s="98"/>
      <c r="E450" s="99"/>
      <c r="F450" s="99"/>
      <c r="G450" s="99"/>
      <c r="H450" s="99"/>
    </row>
    <row r="451" spans="1:8" ht="15">
      <c r="A451" s="98"/>
      <c r="B451" s="98"/>
      <c r="C451" s="98"/>
      <c r="D451" s="98"/>
      <c r="E451" s="99"/>
      <c r="F451" s="99"/>
      <c r="G451" s="99"/>
      <c r="H451" s="99"/>
    </row>
    <row r="452" spans="1:8" ht="15">
      <c r="A452" s="98"/>
      <c r="B452" s="98"/>
      <c r="C452" s="98"/>
      <c r="D452" s="98"/>
      <c r="E452" s="99"/>
      <c r="F452" s="99"/>
      <c r="G452" s="99"/>
      <c r="H452" s="99"/>
    </row>
    <row r="453" spans="1:8" ht="15">
      <c r="A453" s="98"/>
      <c r="B453" s="98"/>
      <c r="C453" s="98"/>
      <c r="D453" s="98"/>
      <c r="E453" s="99"/>
      <c r="F453" s="99"/>
      <c r="G453" s="99"/>
      <c r="H453" s="99"/>
    </row>
    <row r="454" spans="1:8" ht="15">
      <c r="A454" s="98"/>
      <c r="B454" s="98"/>
      <c r="C454" s="98"/>
      <c r="D454" s="98"/>
      <c r="E454" s="99"/>
      <c r="F454" s="99"/>
      <c r="G454" s="99"/>
      <c r="H454" s="99"/>
    </row>
    <row r="455" spans="1:8" ht="15">
      <c r="A455" s="98"/>
      <c r="B455" s="98"/>
      <c r="C455" s="98"/>
      <c r="D455" s="98"/>
      <c r="E455" s="99"/>
      <c r="F455" s="99"/>
      <c r="G455" s="99"/>
      <c r="H455" s="99"/>
    </row>
    <row r="456" spans="1:8" ht="15">
      <c r="A456" s="98"/>
      <c r="B456" s="98"/>
      <c r="C456" s="98"/>
      <c r="D456" s="98"/>
      <c r="E456" s="99"/>
      <c r="F456" s="99"/>
      <c r="G456" s="99"/>
      <c r="H456" s="99"/>
    </row>
    <row r="457" spans="1:8" ht="15">
      <c r="A457" s="98"/>
      <c r="B457" s="98"/>
      <c r="C457" s="98"/>
      <c r="D457" s="98"/>
      <c r="E457" s="99"/>
      <c r="F457" s="99"/>
      <c r="G457" s="99"/>
      <c r="H457" s="99"/>
    </row>
    <row r="458" spans="1:8" ht="15">
      <c r="A458" s="98"/>
      <c r="B458" s="98"/>
      <c r="C458" s="98"/>
      <c r="D458" s="98"/>
      <c r="E458" s="99"/>
      <c r="F458" s="99"/>
      <c r="G458" s="99"/>
      <c r="H458" s="99"/>
    </row>
    <row r="459" spans="1:8" ht="15">
      <c r="A459" s="98"/>
      <c r="B459" s="98"/>
      <c r="C459" s="98"/>
      <c r="D459" s="98"/>
      <c r="E459" s="99"/>
      <c r="F459" s="99"/>
      <c r="G459" s="99"/>
      <c r="H459" s="99"/>
    </row>
    <row r="460" spans="1:8" ht="15">
      <c r="A460" s="98"/>
      <c r="B460" s="98"/>
      <c r="C460" s="98"/>
      <c r="D460" s="98"/>
      <c r="E460" s="99"/>
      <c r="F460" s="99"/>
      <c r="G460" s="99"/>
      <c r="H460" s="99"/>
    </row>
    <row r="461" spans="1:8" ht="15">
      <c r="A461" s="98"/>
      <c r="B461" s="98"/>
      <c r="C461" s="98"/>
      <c r="D461" s="98"/>
      <c r="E461" s="99"/>
      <c r="F461" s="99"/>
      <c r="G461" s="99"/>
      <c r="H461" s="99"/>
    </row>
    <row r="462" spans="1:8" ht="15">
      <c r="A462" s="98"/>
      <c r="B462" s="98"/>
      <c r="C462" s="98"/>
      <c r="D462" s="98"/>
      <c r="E462" s="99"/>
      <c r="F462" s="99"/>
      <c r="G462" s="99"/>
      <c r="H462" s="99"/>
    </row>
    <row r="463" spans="1:8" ht="15">
      <c r="A463" s="98"/>
      <c r="B463" s="98"/>
      <c r="C463" s="98"/>
      <c r="D463" s="98"/>
      <c r="E463" s="99"/>
      <c r="F463" s="99"/>
      <c r="G463" s="99"/>
      <c r="H463" s="99"/>
    </row>
    <row r="464" spans="1:8" ht="15">
      <c r="A464" s="98"/>
      <c r="B464" s="98"/>
      <c r="C464" s="98"/>
      <c r="D464" s="98"/>
      <c r="E464" s="99"/>
      <c r="F464" s="99"/>
      <c r="G464" s="99"/>
      <c r="H464" s="99"/>
    </row>
    <row r="465" spans="1:8" ht="15">
      <c r="A465" s="98"/>
      <c r="B465" s="98"/>
      <c r="C465" s="98"/>
      <c r="D465" s="98"/>
      <c r="E465" s="99"/>
      <c r="F465" s="99"/>
      <c r="G465" s="99"/>
      <c r="H465" s="99"/>
    </row>
    <row r="466" spans="1:8" ht="15">
      <c r="A466" s="98"/>
      <c r="B466" s="98"/>
      <c r="C466" s="98"/>
      <c r="D466" s="98"/>
      <c r="E466" s="99"/>
      <c r="F466" s="99"/>
      <c r="G466" s="99"/>
      <c r="H466" s="99"/>
    </row>
    <row r="467" spans="1:8" ht="15">
      <c r="A467" s="98"/>
      <c r="B467" s="98"/>
      <c r="C467" s="98"/>
      <c r="D467" s="98"/>
      <c r="E467" s="99"/>
      <c r="F467" s="99"/>
      <c r="G467" s="99"/>
      <c r="H467" s="99"/>
    </row>
    <row r="468" spans="1:8" ht="15">
      <c r="A468" s="98"/>
      <c r="B468" s="98"/>
      <c r="C468" s="98"/>
      <c r="D468" s="98"/>
      <c r="E468" s="99"/>
      <c r="F468" s="99"/>
      <c r="G468" s="99"/>
      <c r="H468" s="99"/>
    </row>
    <row r="469" spans="1:8" ht="15">
      <c r="A469" s="98"/>
      <c r="B469" s="98"/>
      <c r="C469" s="98"/>
      <c r="D469" s="98"/>
      <c r="E469" s="99"/>
      <c r="F469" s="99"/>
      <c r="G469" s="99"/>
      <c r="H469" s="99"/>
    </row>
    <row r="470" spans="1:8" ht="15">
      <c r="A470" s="98"/>
      <c r="B470" s="98"/>
      <c r="C470" s="98"/>
      <c r="D470" s="98"/>
      <c r="E470" s="99"/>
      <c r="F470" s="99"/>
      <c r="G470" s="99"/>
      <c r="H470" s="99"/>
    </row>
    <row r="471" spans="1:8" ht="15">
      <c r="A471" s="98"/>
      <c r="B471" s="98"/>
      <c r="C471" s="98"/>
      <c r="D471" s="98"/>
      <c r="E471" s="99"/>
      <c r="F471" s="99"/>
      <c r="G471" s="99"/>
      <c r="H471" s="99"/>
    </row>
    <row r="472" spans="1:8" ht="15">
      <c r="A472" s="98"/>
      <c r="B472" s="98"/>
      <c r="C472" s="98"/>
      <c r="D472" s="98"/>
      <c r="E472" s="99"/>
      <c r="F472" s="99"/>
      <c r="G472" s="99"/>
      <c r="H472" s="99"/>
    </row>
    <row r="473" spans="1:8" ht="15">
      <c r="A473" s="98"/>
      <c r="B473" s="98"/>
      <c r="C473" s="98"/>
      <c r="D473" s="98"/>
      <c r="E473" s="99"/>
      <c r="F473" s="99"/>
      <c r="G473" s="99"/>
      <c r="H473" s="99"/>
    </row>
  </sheetData>
  <sheetProtection/>
  <mergeCells count="2">
    <mergeCell ref="A1:C1"/>
    <mergeCell ref="A3:E3"/>
  </mergeCells>
  <printOptions/>
  <pageMargins left="0.28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9.140625" style="576" customWidth="1"/>
    <col min="6" max="9" width="0" style="108" hidden="1" customWidth="1"/>
    <col min="10" max="11" width="0" style="496" hidden="1" customWidth="1"/>
    <col min="12" max="12" width="11.57421875" style="496" customWidth="1"/>
    <col min="13" max="13" width="11.421875" style="496" customWidth="1"/>
    <col min="14" max="14" width="9.8515625" style="496" customWidth="1"/>
    <col min="15" max="15" width="9.140625" style="496" customWidth="1"/>
    <col min="16" max="16" width="9.28125" style="496" customWidth="1"/>
    <col min="17" max="17" width="9.140625" style="496" customWidth="1"/>
    <col min="18" max="18" width="12.00390625" style="496" customWidth="1"/>
    <col min="19" max="19" width="9.140625" style="478" customWidth="1"/>
    <col min="20" max="20" width="3.421875" style="496" customWidth="1"/>
    <col min="21" max="21" width="12.57421875" style="496" customWidth="1"/>
    <col min="22" max="22" width="11.8515625" style="496" customWidth="1"/>
    <col min="23" max="23" width="12.00390625" style="496" customWidth="1"/>
    <col min="24" max="16384" width="9.140625" style="108" customWidth="1"/>
  </cols>
  <sheetData>
    <row r="1" spans="1:23" ht="18">
      <c r="A1" s="1186" t="s">
        <v>665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</row>
    <row r="2" spans="1:14" ht="21.75" customHeight="1">
      <c r="A2" s="895" t="s">
        <v>595</v>
      </c>
      <c r="B2" s="896"/>
      <c r="M2" s="897"/>
      <c r="N2" s="897"/>
    </row>
    <row r="3" spans="1:14" ht="12.75">
      <c r="A3" s="902"/>
      <c r="M3" s="897"/>
      <c r="N3" s="897"/>
    </row>
    <row r="4" spans="1:14" ht="13.5" thickBot="1">
      <c r="A4" s="1053"/>
      <c r="B4" s="186"/>
      <c r="C4" s="186"/>
      <c r="D4" s="186"/>
      <c r="E4" s="577"/>
      <c r="F4" s="186"/>
      <c r="G4" s="186"/>
      <c r="M4" s="897"/>
      <c r="N4" s="897"/>
    </row>
    <row r="5" spans="1:14" ht="16.5" thickBot="1">
      <c r="A5" s="898" t="s">
        <v>709</v>
      </c>
      <c r="B5" s="899" t="s">
        <v>740</v>
      </c>
      <c r="C5" s="1187"/>
      <c r="D5" s="1187"/>
      <c r="E5" s="1188"/>
      <c r="F5" s="1187"/>
      <c r="G5" s="1187"/>
      <c r="H5" s="1187"/>
      <c r="I5" s="1187"/>
      <c r="J5" s="900"/>
      <c r="K5" s="855"/>
      <c r="L5" s="855"/>
      <c r="M5" s="901"/>
      <c r="N5" s="901"/>
    </row>
    <row r="6" spans="1:14" ht="23.25" customHeight="1" thickBot="1">
      <c r="A6" s="902" t="s">
        <v>494</v>
      </c>
      <c r="M6" s="897"/>
      <c r="N6" s="897"/>
    </row>
    <row r="7" spans="1:23" ht="13.5" thickBot="1">
      <c r="A7" s="1541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4" t="s">
        <v>733</v>
      </c>
      <c r="I7" s="1542" t="s">
        <v>667</v>
      </c>
      <c r="J7" s="1128" t="s">
        <v>668</v>
      </c>
      <c r="K7" s="1128" t="s">
        <v>669</v>
      </c>
      <c r="L7" s="1055" t="s">
        <v>670</v>
      </c>
      <c r="M7" s="1055"/>
      <c r="N7" s="1055" t="s">
        <v>495</v>
      </c>
      <c r="O7" s="1055"/>
      <c r="P7" s="1055"/>
      <c r="Q7" s="1055"/>
      <c r="R7" s="1056" t="s">
        <v>671</v>
      </c>
      <c r="S7" s="1057" t="s">
        <v>497</v>
      </c>
      <c r="U7" s="907" t="s">
        <v>672</v>
      </c>
      <c r="V7" s="907"/>
      <c r="W7" s="907"/>
    </row>
    <row r="8" spans="1:23" ht="13.5" thickBot="1">
      <c r="A8" s="1541"/>
      <c r="B8" s="904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4"/>
      <c r="I8" s="1542"/>
      <c r="J8" s="1128"/>
      <c r="K8" s="1128"/>
      <c r="L8" s="912" t="s">
        <v>31</v>
      </c>
      <c r="M8" s="912" t="s">
        <v>32</v>
      </c>
      <c r="N8" s="913" t="s">
        <v>508</v>
      </c>
      <c r="O8" s="1058" t="s">
        <v>511</v>
      </c>
      <c r="P8" s="914" t="s">
        <v>514</v>
      </c>
      <c r="Q8" s="915" t="s">
        <v>517</v>
      </c>
      <c r="R8" s="912" t="s">
        <v>518</v>
      </c>
      <c r="S8" s="1059" t="s">
        <v>519</v>
      </c>
      <c r="U8" s="1060" t="s">
        <v>676</v>
      </c>
      <c r="V8" s="1061" t="s">
        <v>677</v>
      </c>
      <c r="W8" s="1061" t="s">
        <v>678</v>
      </c>
    </row>
    <row r="9" spans="1:23" ht="12.75">
      <c r="A9" s="1543" t="s">
        <v>520</v>
      </c>
      <c r="B9" s="1515"/>
      <c r="C9" s="1516">
        <v>104</v>
      </c>
      <c r="D9" s="1516">
        <v>104</v>
      </c>
      <c r="E9" s="1517"/>
      <c r="F9" s="919">
        <v>19</v>
      </c>
      <c r="G9" s="919">
        <v>19</v>
      </c>
      <c r="H9" s="856">
        <v>19</v>
      </c>
      <c r="I9" s="919">
        <v>19</v>
      </c>
      <c r="J9" s="928">
        <v>19</v>
      </c>
      <c r="K9" s="928">
        <v>19</v>
      </c>
      <c r="L9" s="946"/>
      <c r="M9" s="946"/>
      <c r="N9" s="1063">
        <v>19</v>
      </c>
      <c r="O9" s="944">
        <f>U9</f>
        <v>19</v>
      </c>
      <c r="P9" s="1129">
        <f>V9</f>
        <v>19</v>
      </c>
      <c r="Q9" s="1065"/>
      <c r="R9" s="1066" t="s">
        <v>521</v>
      </c>
      <c r="S9" s="1067" t="s">
        <v>521</v>
      </c>
      <c r="T9" s="1068"/>
      <c r="U9" s="979">
        <v>19</v>
      </c>
      <c r="V9" s="979">
        <v>19</v>
      </c>
      <c r="W9" s="928"/>
    </row>
    <row r="10" spans="1:23" ht="13.5" thickBot="1">
      <c r="A10" s="1544" t="s">
        <v>522</v>
      </c>
      <c r="B10" s="1518"/>
      <c r="C10" s="1519">
        <v>101</v>
      </c>
      <c r="D10" s="1519">
        <v>104</v>
      </c>
      <c r="E10" s="1520"/>
      <c r="F10" s="931">
        <v>15</v>
      </c>
      <c r="G10" s="931">
        <v>15</v>
      </c>
      <c r="H10" s="859">
        <v>15</v>
      </c>
      <c r="I10" s="931">
        <v>15</v>
      </c>
      <c r="J10" s="938">
        <v>15</v>
      </c>
      <c r="K10" s="938">
        <v>15</v>
      </c>
      <c r="L10" s="933"/>
      <c r="M10" s="933"/>
      <c r="N10" s="861">
        <v>15</v>
      </c>
      <c r="O10" s="955">
        <f aca="true" t="shared" si="0" ref="O10:P21">U10</f>
        <v>15</v>
      </c>
      <c r="P10" s="1002">
        <f t="shared" si="0"/>
        <v>15</v>
      </c>
      <c r="Q10" s="956"/>
      <c r="R10" s="933" t="s">
        <v>521</v>
      </c>
      <c r="S10" s="1072" t="s">
        <v>521</v>
      </c>
      <c r="T10" s="1068"/>
      <c r="U10" s="1164">
        <v>15</v>
      </c>
      <c r="V10" s="1164">
        <v>15</v>
      </c>
      <c r="W10" s="938"/>
    </row>
    <row r="11" spans="1:23" ht="12.75">
      <c r="A11" s="1545" t="s">
        <v>523</v>
      </c>
      <c r="B11" s="616" t="s">
        <v>524</v>
      </c>
      <c r="C11" s="1521">
        <v>37915</v>
      </c>
      <c r="D11" s="1521">
        <v>39774</v>
      </c>
      <c r="E11" s="618" t="s">
        <v>525</v>
      </c>
      <c r="F11" s="940">
        <v>4746</v>
      </c>
      <c r="G11" s="940">
        <v>4798</v>
      </c>
      <c r="H11" s="863">
        <v>4874</v>
      </c>
      <c r="I11" s="940">
        <v>4864</v>
      </c>
      <c r="J11" s="947">
        <v>5349</v>
      </c>
      <c r="K11" s="947">
        <v>5737</v>
      </c>
      <c r="L11" s="945" t="s">
        <v>521</v>
      </c>
      <c r="M11" s="945" t="s">
        <v>521</v>
      </c>
      <c r="N11" s="865">
        <v>5737</v>
      </c>
      <c r="O11" s="944">
        <f t="shared" si="0"/>
        <v>5737</v>
      </c>
      <c r="P11" s="943">
        <f t="shared" si="0"/>
        <v>5737</v>
      </c>
      <c r="Q11" s="944"/>
      <c r="R11" s="948" t="s">
        <v>521</v>
      </c>
      <c r="S11" s="1075" t="s">
        <v>521</v>
      </c>
      <c r="T11" s="1068"/>
      <c r="U11" s="979">
        <v>5737</v>
      </c>
      <c r="V11" s="979">
        <v>5737</v>
      </c>
      <c r="W11" s="947"/>
    </row>
    <row r="12" spans="1:23" ht="12.75">
      <c r="A12" s="1546" t="s">
        <v>526</v>
      </c>
      <c r="B12" s="629" t="s">
        <v>527</v>
      </c>
      <c r="C12" s="1522">
        <v>-16164</v>
      </c>
      <c r="D12" s="1522">
        <v>-17825</v>
      </c>
      <c r="E12" s="618" t="s">
        <v>528</v>
      </c>
      <c r="F12" s="940">
        <v>-4512</v>
      </c>
      <c r="G12" s="940">
        <v>-4656</v>
      </c>
      <c r="H12" s="863">
        <v>-4815</v>
      </c>
      <c r="I12" s="940">
        <v>4806</v>
      </c>
      <c r="J12" s="947">
        <v>5290</v>
      </c>
      <c r="K12" s="947">
        <v>5602</v>
      </c>
      <c r="L12" s="952" t="s">
        <v>521</v>
      </c>
      <c r="M12" s="952" t="s">
        <v>521</v>
      </c>
      <c r="N12" s="867">
        <v>5602</v>
      </c>
      <c r="O12" s="951">
        <f t="shared" si="0"/>
        <v>5602</v>
      </c>
      <c r="P12" s="943">
        <f t="shared" si="0"/>
        <v>5602</v>
      </c>
      <c r="Q12" s="951"/>
      <c r="R12" s="948" t="s">
        <v>521</v>
      </c>
      <c r="S12" s="1075" t="s">
        <v>521</v>
      </c>
      <c r="T12" s="1068"/>
      <c r="U12" s="940">
        <v>5602</v>
      </c>
      <c r="V12" s="940">
        <v>5602</v>
      </c>
      <c r="W12" s="947"/>
    </row>
    <row r="13" spans="1:23" ht="12.75">
      <c r="A13" s="1546" t="s">
        <v>529</v>
      </c>
      <c r="B13" s="629" t="s">
        <v>679</v>
      </c>
      <c r="C13" s="1522">
        <v>604</v>
      </c>
      <c r="D13" s="1522">
        <v>619</v>
      </c>
      <c r="E13" s="618" t="s">
        <v>531</v>
      </c>
      <c r="F13" s="940">
        <v>24</v>
      </c>
      <c r="G13" s="940">
        <v>24</v>
      </c>
      <c r="H13" s="863">
        <v>28</v>
      </c>
      <c r="I13" s="940">
        <v>31</v>
      </c>
      <c r="J13" s="947">
        <v>32</v>
      </c>
      <c r="K13" s="947">
        <v>33</v>
      </c>
      <c r="L13" s="952" t="s">
        <v>521</v>
      </c>
      <c r="M13" s="952" t="s">
        <v>521</v>
      </c>
      <c r="N13" s="867">
        <v>18</v>
      </c>
      <c r="O13" s="951">
        <f t="shared" si="0"/>
        <v>6</v>
      </c>
      <c r="P13" s="943">
        <f t="shared" si="0"/>
        <v>9</v>
      </c>
      <c r="Q13" s="951"/>
      <c r="R13" s="948" t="s">
        <v>521</v>
      </c>
      <c r="S13" s="1075" t="s">
        <v>521</v>
      </c>
      <c r="T13" s="1068"/>
      <c r="U13" s="940">
        <v>6</v>
      </c>
      <c r="V13" s="940">
        <v>9</v>
      </c>
      <c r="W13" s="947"/>
    </row>
    <row r="14" spans="1:23" ht="12.75">
      <c r="A14" s="1546" t="s">
        <v>532</v>
      </c>
      <c r="B14" s="629" t="s">
        <v>680</v>
      </c>
      <c r="C14" s="1522">
        <v>221</v>
      </c>
      <c r="D14" s="1522">
        <v>610</v>
      </c>
      <c r="E14" s="618" t="s">
        <v>521</v>
      </c>
      <c r="F14" s="940">
        <v>50</v>
      </c>
      <c r="G14" s="940">
        <v>305</v>
      </c>
      <c r="H14" s="863">
        <v>337</v>
      </c>
      <c r="I14" s="940">
        <v>364</v>
      </c>
      <c r="J14" s="947">
        <v>543</v>
      </c>
      <c r="K14" s="947">
        <v>66</v>
      </c>
      <c r="L14" s="952" t="s">
        <v>521</v>
      </c>
      <c r="M14" s="952" t="s">
        <v>521</v>
      </c>
      <c r="N14" s="867">
        <v>1550</v>
      </c>
      <c r="O14" s="951">
        <f t="shared" si="0"/>
        <v>1234</v>
      </c>
      <c r="P14" s="943">
        <f t="shared" si="0"/>
        <v>713</v>
      </c>
      <c r="Q14" s="951"/>
      <c r="R14" s="948" t="s">
        <v>521</v>
      </c>
      <c r="S14" s="1075" t="s">
        <v>521</v>
      </c>
      <c r="T14" s="1068"/>
      <c r="U14" s="940">
        <v>1234</v>
      </c>
      <c r="V14" s="940">
        <v>713</v>
      </c>
      <c r="W14" s="947"/>
    </row>
    <row r="15" spans="1:23" ht="13.5" thickBot="1">
      <c r="A15" s="1543" t="s">
        <v>534</v>
      </c>
      <c r="B15" s="634" t="s">
        <v>681</v>
      </c>
      <c r="C15" s="1523">
        <v>2021</v>
      </c>
      <c r="D15" s="1523">
        <v>852</v>
      </c>
      <c r="E15" s="550" t="s">
        <v>536</v>
      </c>
      <c r="F15" s="920">
        <v>917</v>
      </c>
      <c r="G15" s="920">
        <v>1150</v>
      </c>
      <c r="H15" s="869">
        <v>970</v>
      </c>
      <c r="I15" s="920">
        <v>1018</v>
      </c>
      <c r="J15" s="959">
        <v>1234</v>
      </c>
      <c r="K15" s="959">
        <v>1727</v>
      </c>
      <c r="L15" s="957" t="s">
        <v>521</v>
      </c>
      <c r="M15" s="957" t="s">
        <v>521</v>
      </c>
      <c r="N15" s="858">
        <v>2205</v>
      </c>
      <c r="O15" s="935">
        <f t="shared" si="0"/>
        <v>2800</v>
      </c>
      <c r="P15" s="943">
        <f t="shared" si="0"/>
        <v>2299</v>
      </c>
      <c r="Q15" s="955"/>
      <c r="R15" s="960" t="s">
        <v>521</v>
      </c>
      <c r="S15" s="1067" t="s">
        <v>521</v>
      </c>
      <c r="T15" s="1068"/>
      <c r="U15" s="931">
        <v>2800</v>
      </c>
      <c r="V15" s="931">
        <v>2299</v>
      </c>
      <c r="W15" s="959"/>
    </row>
    <row r="16" spans="1:23" ht="13.5" thickBot="1">
      <c r="A16" s="1547" t="s">
        <v>537</v>
      </c>
      <c r="B16" s="1524"/>
      <c r="C16" s="1525">
        <v>24618</v>
      </c>
      <c r="D16" s="1525">
        <v>24087</v>
      </c>
      <c r="E16" s="1526"/>
      <c r="F16" s="1084">
        <v>1254</v>
      </c>
      <c r="G16" s="1084">
        <v>1655</v>
      </c>
      <c r="H16" s="1178">
        <v>1438</v>
      </c>
      <c r="I16" s="1084">
        <v>1471</v>
      </c>
      <c r="J16" s="1527">
        <f>J11-J12+J13+J14+J15</f>
        <v>1868</v>
      </c>
      <c r="K16" s="1084">
        <f>K11-K12+K13+K14+K15</f>
        <v>1961</v>
      </c>
      <c r="L16" s="967" t="s">
        <v>521</v>
      </c>
      <c r="M16" s="967" t="s">
        <v>521</v>
      </c>
      <c r="N16" s="1178">
        <f>N11-N12+N13+N14+N15</f>
        <v>3908</v>
      </c>
      <c r="O16" s="1084">
        <f>O11-O12+O13+O14+O15</f>
        <v>4175</v>
      </c>
      <c r="P16" s="1084">
        <f>P11-P12+P13+P14+P15</f>
        <v>3156</v>
      </c>
      <c r="Q16" s="1082"/>
      <c r="R16" s="969" t="s">
        <v>521</v>
      </c>
      <c r="S16" s="1083" t="s">
        <v>521</v>
      </c>
      <c r="T16" s="1068"/>
      <c r="U16" s="1084">
        <v>4176</v>
      </c>
      <c r="V16" s="1084">
        <f>V11-V12+V13+V14+V15</f>
        <v>3156</v>
      </c>
      <c r="W16" s="1084">
        <v>0</v>
      </c>
    </row>
    <row r="17" spans="1:23" ht="12.75">
      <c r="A17" s="1543" t="s">
        <v>538</v>
      </c>
      <c r="B17" s="616" t="s">
        <v>539</v>
      </c>
      <c r="C17" s="1521">
        <v>7043</v>
      </c>
      <c r="D17" s="1521">
        <v>7240</v>
      </c>
      <c r="E17" s="550">
        <v>401</v>
      </c>
      <c r="F17" s="920">
        <v>242</v>
      </c>
      <c r="G17" s="920">
        <v>152</v>
      </c>
      <c r="H17" s="869">
        <v>68</v>
      </c>
      <c r="I17" s="920">
        <v>68</v>
      </c>
      <c r="J17" s="959">
        <v>68</v>
      </c>
      <c r="K17" s="959">
        <v>144</v>
      </c>
      <c r="L17" s="945" t="s">
        <v>521</v>
      </c>
      <c r="M17" s="945" t="s">
        <v>521</v>
      </c>
      <c r="N17" s="858">
        <v>144</v>
      </c>
      <c r="O17" s="974">
        <f t="shared" si="0"/>
        <v>144</v>
      </c>
      <c r="P17" s="943">
        <f>V17</f>
        <v>144</v>
      </c>
      <c r="Q17" s="944"/>
      <c r="R17" s="960" t="s">
        <v>521</v>
      </c>
      <c r="S17" s="1067" t="s">
        <v>521</v>
      </c>
      <c r="T17" s="1068"/>
      <c r="U17" s="941">
        <v>144</v>
      </c>
      <c r="V17" s="941">
        <v>144</v>
      </c>
      <c r="W17" s="959"/>
    </row>
    <row r="18" spans="1:23" ht="12.75">
      <c r="A18" s="1546" t="s">
        <v>540</v>
      </c>
      <c r="B18" s="629" t="s">
        <v>541</v>
      </c>
      <c r="C18" s="1522">
        <v>1001</v>
      </c>
      <c r="D18" s="1522">
        <v>820</v>
      </c>
      <c r="E18" s="618" t="s">
        <v>542</v>
      </c>
      <c r="F18" s="940">
        <v>497</v>
      </c>
      <c r="G18" s="940">
        <v>475</v>
      </c>
      <c r="H18" s="863">
        <v>253</v>
      </c>
      <c r="I18" s="940">
        <v>420</v>
      </c>
      <c r="J18" s="947">
        <v>515</v>
      </c>
      <c r="K18" s="947">
        <v>760</v>
      </c>
      <c r="L18" s="952" t="s">
        <v>521</v>
      </c>
      <c r="M18" s="952" t="s">
        <v>521</v>
      </c>
      <c r="N18" s="867">
        <v>748</v>
      </c>
      <c r="O18" s="951">
        <f t="shared" si="0"/>
        <v>910</v>
      </c>
      <c r="P18" s="943">
        <f>V18</f>
        <v>911</v>
      </c>
      <c r="Q18" s="951"/>
      <c r="R18" s="948" t="s">
        <v>521</v>
      </c>
      <c r="S18" s="1075" t="s">
        <v>521</v>
      </c>
      <c r="T18" s="1068"/>
      <c r="U18" s="940">
        <v>910</v>
      </c>
      <c r="V18" s="1548">
        <v>911</v>
      </c>
      <c r="W18" s="947"/>
    </row>
    <row r="19" spans="1:23" ht="12.75">
      <c r="A19" s="1546" t="s">
        <v>543</v>
      </c>
      <c r="B19" s="629" t="s">
        <v>682</v>
      </c>
      <c r="C19" s="1522">
        <v>14718</v>
      </c>
      <c r="D19" s="1522">
        <v>14718</v>
      </c>
      <c r="E19" s="618" t="s">
        <v>521</v>
      </c>
      <c r="F19" s="940">
        <v>0</v>
      </c>
      <c r="G19" s="940">
        <v>0</v>
      </c>
      <c r="H19" s="863">
        <v>0</v>
      </c>
      <c r="I19" s="940">
        <v>0</v>
      </c>
      <c r="J19" s="947">
        <v>0</v>
      </c>
      <c r="K19" s="947">
        <v>0</v>
      </c>
      <c r="L19" s="952" t="s">
        <v>521</v>
      </c>
      <c r="M19" s="952" t="s">
        <v>521</v>
      </c>
      <c r="N19" s="867">
        <v>0</v>
      </c>
      <c r="O19" s="951">
        <f t="shared" si="0"/>
        <v>0</v>
      </c>
      <c r="P19" s="943">
        <f>V19</f>
        <v>0</v>
      </c>
      <c r="Q19" s="951"/>
      <c r="R19" s="948" t="s">
        <v>521</v>
      </c>
      <c r="S19" s="1075" t="s">
        <v>521</v>
      </c>
      <c r="T19" s="1068"/>
      <c r="U19" s="940">
        <v>0</v>
      </c>
      <c r="V19" s="1548">
        <v>0</v>
      </c>
      <c r="W19" s="947"/>
    </row>
    <row r="20" spans="1:23" ht="12.75">
      <c r="A20" s="1546" t="s">
        <v>545</v>
      </c>
      <c r="B20" s="629" t="s">
        <v>544</v>
      </c>
      <c r="C20" s="1522">
        <v>1758</v>
      </c>
      <c r="D20" s="1522">
        <v>1762</v>
      </c>
      <c r="E20" s="618" t="s">
        <v>521</v>
      </c>
      <c r="F20" s="940">
        <v>475</v>
      </c>
      <c r="G20" s="940">
        <v>479</v>
      </c>
      <c r="H20" s="863">
        <v>705</v>
      </c>
      <c r="I20" s="940">
        <v>926</v>
      </c>
      <c r="J20" s="947">
        <v>1191</v>
      </c>
      <c r="K20" s="947">
        <v>886</v>
      </c>
      <c r="L20" s="952" t="s">
        <v>521</v>
      </c>
      <c r="M20" s="952" t="s">
        <v>521</v>
      </c>
      <c r="N20" s="867">
        <v>2573</v>
      </c>
      <c r="O20" s="951">
        <f t="shared" si="0"/>
        <v>2646</v>
      </c>
      <c r="P20" s="943">
        <f>V20</f>
        <v>1613</v>
      </c>
      <c r="Q20" s="951"/>
      <c r="R20" s="948" t="s">
        <v>521</v>
      </c>
      <c r="S20" s="1075" t="s">
        <v>521</v>
      </c>
      <c r="T20" s="1068"/>
      <c r="U20" s="940">
        <v>2646</v>
      </c>
      <c r="V20" s="1548">
        <v>1613</v>
      </c>
      <c r="W20" s="947"/>
    </row>
    <row r="21" spans="1:23" ht="13.5" thickBot="1">
      <c r="A21" s="1544" t="s">
        <v>547</v>
      </c>
      <c r="B21" s="653"/>
      <c r="C21" s="1528">
        <v>0</v>
      </c>
      <c r="D21" s="1528">
        <v>0</v>
      </c>
      <c r="E21" s="655" t="s">
        <v>521</v>
      </c>
      <c r="F21" s="940">
        <v>0</v>
      </c>
      <c r="G21" s="940">
        <v>0</v>
      </c>
      <c r="H21" s="863">
        <v>0</v>
      </c>
      <c r="I21" s="931">
        <v>0</v>
      </c>
      <c r="J21" s="1052">
        <v>0</v>
      </c>
      <c r="K21" s="1052">
        <v>0</v>
      </c>
      <c r="L21" s="933" t="s">
        <v>521</v>
      </c>
      <c r="M21" s="933" t="s">
        <v>521</v>
      </c>
      <c r="N21" s="873">
        <v>0</v>
      </c>
      <c r="O21" s="955">
        <f t="shared" si="0"/>
        <v>0</v>
      </c>
      <c r="P21" s="956">
        <f>V21</f>
        <v>0</v>
      </c>
      <c r="Q21" s="955"/>
      <c r="R21" s="977" t="s">
        <v>521</v>
      </c>
      <c r="S21" s="1087" t="s">
        <v>521</v>
      </c>
      <c r="T21" s="1068"/>
      <c r="U21" s="1164">
        <v>0</v>
      </c>
      <c r="V21" s="1549">
        <v>0</v>
      </c>
      <c r="W21" s="1052"/>
    </row>
    <row r="22" spans="1:24" ht="14.25">
      <c r="A22" s="1550" t="s">
        <v>549</v>
      </c>
      <c r="B22" s="616" t="s">
        <v>550</v>
      </c>
      <c r="C22" s="1521">
        <v>12472</v>
      </c>
      <c r="D22" s="1521">
        <v>13728</v>
      </c>
      <c r="E22" s="1529" t="s">
        <v>521</v>
      </c>
      <c r="F22" s="979">
        <v>5931</v>
      </c>
      <c r="G22" s="979">
        <v>6054</v>
      </c>
      <c r="H22" s="874">
        <v>6752</v>
      </c>
      <c r="I22" s="941">
        <v>6825</v>
      </c>
      <c r="J22" s="875">
        <v>8064</v>
      </c>
      <c r="K22" s="875">
        <v>7481</v>
      </c>
      <c r="L22" s="1100">
        <f>L35</f>
        <v>7104</v>
      </c>
      <c r="M22" s="1100">
        <f>M35</f>
        <v>7191</v>
      </c>
      <c r="N22" s="980">
        <v>1900</v>
      </c>
      <c r="O22" s="1009">
        <f>U22-N22</f>
        <v>1525</v>
      </c>
      <c r="P22" s="983">
        <f>V22-U22</f>
        <v>1851</v>
      </c>
      <c r="Q22" s="1112"/>
      <c r="R22" s="1150">
        <f>SUM(N22:Q22)</f>
        <v>5276</v>
      </c>
      <c r="S22" s="1138">
        <f>(R22/M22)*100</f>
        <v>73.36948963982756</v>
      </c>
      <c r="T22" s="1068"/>
      <c r="U22" s="979">
        <v>3425</v>
      </c>
      <c r="V22" s="1551">
        <v>5276</v>
      </c>
      <c r="W22" s="875"/>
      <c r="X22" s="1530"/>
    </row>
    <row r="23" spans="1:23" ht="14.25">
      <c r="A23" s="1546" t="s">
        <v>551</v>
      </c>
      <c r="B23" s="629" t="s">
        <v>552</v>
      </c>
      <c r="C23" s="1522">
        <v>0</v>
      </c>
      <c r="D23" s="1522">
        <v>0</v>
      </c>
      <c r="E23" s="1531" t="s">
        <v>521</v>
      </c>
      <c r="F23" s="940">
        <v>0</v>
      </c>
      <c r="G23" s="940">
        <v>0</v>
      </c>
      <c r="H23" s="863">
        <v>0</v>
      </c>
      <c r="I23" s="940">
        <v>0</v>
      </c>
      <c r="J23" s="877">
        <v>0</v>
      </c>
      <c r="K23" s="877">
        <v>0</v>
      </c>
      <c r="L23" s="991"/>
      <c r="M23" s="1092"/>
      <c r="N23" s="989"/>
      <c r="O23" s="1151">
        <f aca="true" t="shared" si="1" ref="O23:O40">U23-N23</f>
        <v>0</v>
      </c>
      <c r="P23" s="992">
        <f aca="true" t="shared" si="2" ref="P23:P40">V23-U23</f>
        <v>0</v>
      </c>
      <c r="Q23" s="943"/>
      <c r="R23" s="1152">
        <f aca="true" t="shared" si="3" ref="R23:R45">SUM(N23:Q23)</f>
        <v>0</v>
      </c>
      <c r="S23" s="1141" t="e">
        <f aca="true" t="shared" si="4" ref="S23:S45">(R23/M23)*100</f>
        <v>#DIV/0!</v>
      </c>
      <c r="T23" s="1068"/>
      <c r="U23" s="940">
        <v>0</v>
      </c>
      <c r="V23" s="1548">
        <v>0</v>
      </c>
      <c r="W23" s="877"/>
    </row>
    <row r="24" spans="1:23" ht="15" thickBot="1">
      <c r="A24" s="1544" t="s">
        <v>553</v>
      </c>
      <c r="B24" s="653" t="s">
        <v>552</v>
      </c>
      <c r="C24" s="1528">
        <v>0</v>
      </c>
      <c r="D24" s="1528">
        <v>1215</v>
      </c>
      <c r="E24" s="1532">
        <v>672</v>
      </c>
      <c r="F24" s="998">
        <v>1249</v>
      </c>
      <c r="G24" s="998">
        <v>1196</v>
      </c>
      <c r="H24" s="879">
        <v>1300</v>
      </c>
      <c r="I24" s="931">
        <v>1350</v>
      </c>
      <c r="J24" s="880">
        <v>1700</v>
      </c>
      <c r="K24" s="880">
        <v>1800</v>
      </c>
      <c r="L24" s="1142">
        <f>L25+L26+L27+L28+L29</f>
        <v>1900</v>
      </c>
      <c r="M24" s="1142">
        <f>M25+M26+M27+M28+M29</f>
        <v>1900</v>
      </c>
      <c r="N24" s="1097">
        <v>474</v>
      </c>
      <c r="O24" s="1153">
        <f t="shared" si="1"/>
        <v>474</v>
      </c>
      <c r="P24" s="1001">
        <f t="shared" si="2"/>
        <v>474</v>
      </c>
      <c r="Q24" s="934"/>
      <c r="R24" s="1154">
        <f t="shared" si="3"/>
        <v>1422</v>
      </c>
      <c r="S24" s="1145">
        <f t="shared" si="4"/>
        <v>74.8421052631579</v>
      </c>
      <c r="T24" s="1068"/>
      <c r="U24" s="931">
        <v>948</v>
      </c>
      <c r="V24" s="1552">
        <v>1422</v>
      </c>
      <c r="W24" s="880"/>
    </row>
    <row r="25" spans="1:23" ht="15">
      <c r="A25" s="1545" t="s">
        <v>554</v>
      </c>
      <c r="B25" s="862" t="s">
        <v>683</v>
      </c>
      <c r="C25" s="1521">
        <v>6341</v>
      </c>
      <c r="D25" s="1521">
        <v>6960</v>
      </c>
      <c r="E25" s="1529">
        <v>501</v>
      </c>
      <c r="F25" s="940">
        <v>970</v>
      </c>
      <c r="G25" s="940">
        <v>842</v>
      </c>
      <c r="H25" s="940">
        <v>873</v>
      </c>
      <c r="I25" s="941">
        <v>999</v>
      </c>
      <c r="J25" s="882">
        <v>1489</v>
      </c>
      <c r="K25" s="882">
        <v>1339</v>
      </c>
      <c r="L25" s="1100">
        <v>360</v>
      </c>
      <c r="M25" s="1100">
        <v>360</v>
      </c>
      <c r="N25" s="1100">
        <v>183</v>
      </c>
      <c r="O25" s="1151">
        <f t="shared" si="1"/>
        <v>309</v>
      </c>
      <c r="P25" s="983">
        <f t="shared" si="2"/>
        <v>188</v>
      </c>
      <c r="Q25" s="1112"/>
      <c r="R25" s="1150">
        <f t="shared" si="3"/>
        <v>680</v>
      </c>
      <c r="S25" s="1138">
        <f t="shared" si="4"/>
        <v>188.88888888888889</v>
      </c>
      <c r="T25" s="1068"/>
      <c r="U25" s="941">
        <v>492</v>
      </c>
      <c r="V25" s="1553">
        <v>680</v>
      </c>
      <c r="W25" s="882"/>
    </row>
    <row r="26" spans="1:23" ht="15">
      <c r="A26" s="1546" t="s">
        <v>556</v>
      </c>
      <c r="B26" s="866" t="s">
        <v>684</v>
      </c>
      <c r="C26" s="1522">
        <v>1745</v>
      </c>
      <c r="D26" s="1522">
        <v>2223</v>
      </c>
      <c r="E26" s="1531">
        <v>502</v>
      </c>
      <c r="F26" s="940">
        <v>441</v>
      </c>
      <c r="G26" s="940">
        <v>449</v>
      </c>
      <c r="H26" s="940">
        <v>410</v>
      </c>
      <c r="I26" s="940">
        <v>379</v>
      </c>
      <c r="J26" s="877">
        <v>555</v>
      </c>
      <c r="K26" s="877">
        <v>498</v>
      </c>
      <c r="L26" s="991">
        <v>590</v>
      </c>
      <c r="M26" s="991">
        <v>590</v>
      </c>
      <c r="N26" s="991">
        <v>0</v>
      </c>
      <c r="O26" s="1151">
        <f t="shared" si="1"/>
        <v>146</v>
      </c>
      <c r="P26" s="992">
        <f t="shared" si="2"/>
        <v>83</v>
      </c>
      <c r="Q26" s="943"/>
      <c r="R26" s="1152">
        <f t="shared" si="3"/>
        <v>229</v>
      </c>
      <c r="S26" s="1141">
        <f t="shared" si="4"/>
        <v>38.813559322033896</v>
      </c>
      <c r="T26" s="1068"/>
      <c r="U26" s="940">
        <v>146</v>
      </c>
      <c r="V26" s="1548">
        <v>229</v>
      </c>
      <c r="W26" s="877"/>
    </row>
    <row r="27" spans="1:23" ht="15">
      <c r="A27" s="1546" t="s">
        <v>558</v>
      </c>
      <c r="B27" s="866" t="s">
        <v>685</v>
      </c>
      <c r="C27" s="1522">
        <v>0</v>
      </c>
      <c r="D27" s="1522">
        <v>0</v>
      </c>
      <c r="E27" s="1531">
        <v>504</v>
      </c>
      <c r="F27" s="940">
        <v>0</v>
      </c>
      <c r="G27" s="940">
        <v>0</v>
      </c>
      <c r="H27" s="940">
        <v>0</v>
      </c>
      <c r="I27" s="940">
        <v>0</v>
      </c>
      <c r="J27" s="877">
        <v>0</v>
      </c>
      <c r="K27" s="877">
        <v>0</v>
      </c>
      <c r="L27" s="991"/>
      <c r="M27" s="991"/>
      <c r="N27" s="991">
        <v>0</v>
      </c>
      <c r="O27" s="1151">
        <f t="shared" si="1"/>
        <v>0</v>
      </c>
      <c r="P27" s="992">
        <f t="shared" si="2"/>
        <v>0</v>
      </c>
      <c r="Q27" s="943"/>
      <c r="R27" s="1152">
        <f t="shared" si="3"/>
        <v>0</v>
      </c>
      <c r="S27" s="1141" t="e">
        <f t="shared" si="4"/>
        <v>#DIV/0!</v>
      </c>
      <c r="T27" s="1068"/>
      <c r="U27" s="940">
        <v>0</v>
      </c>
      <c r="V27" s="1548">
        <v>0</v>
      </c>
      <c r="W27" s="877"/>
    </row>
    <row r="28" spans="1:23" ht="15">
      <c r="A28" s="1546" t="s">
        <v>560</v>
      </c>
      <c r="B28" s="866" t="s">
        <v>686</v>
      </c>
      <c r="C28" s="1522">
        <v>428</v>
      </c>
      <c r="D28" s="1522">
        <v>253</v>
      </c>
      <c r="E28" s="1531">
        <v>511</v>
      </c>
      <c r="F28" s="940">
        <v>250</v>
      </c>
      <c r="G28" s="940">
        <v>317</v>
      </c>
      <c r="H28" s="940">
        <v>662</v>
      </c>
      <c r="I28" s="940">
        <v>299</v>
      </c>
      <c r="J28" s="877">
        <v>591</v>
      </c>
      <c r="K28" s="877">
        <v>386</v>
      </c>
      <c r="L28" s="991">
        <v>550</v>
      </c>
      <c r="M28" s="991">
        <v>550</v>
      </c>
      <c r="N28" s="991">
        <v>4</v>
      </c>
      <c r="O28" s="1151">
        <f t="shared" si="1"/>
        <v>4</v>
      </c>
      <c r="P28" s="992">
        <f t="shared" si="2"/>
        <v>331</v>
      </c>
      <c r="Q28" s="943"/>
      <c r="R28" s="1152">
        <f t="shared" si="3"/>
        <v>339</v>
      </c>
      <c r="S28" s="1141">
        <f t="shared" si="4"/>
        <v>61.63636363636363</v>
      </c>
      <c r="T28" s="1068"/>
      <c r="U28" s="940">
        <v>8</v>
      </c>
      <c r="V28" s="1548">
        <v>339</v>
      </c>
      <c r="W28" s="877"/>
    </row>
    <row r="29" spans="1:23" ht="15">
      <c r="A29" s="1546" t="s">
        <v>562</v>
      </c>
      <c r="B29" s="866" t="s">
        <v>687</v>
      </c>
      <c r="C29" s="1522">
        <v>1057</v>
      </c>
      <c r="D29" s="1522">
        <v>1451</v>
      </c>
      <c r="E29" s="1531">
        <v>518</v>
      </c>
      <c r="F29" s="940">
        <v>476</v>
      </c>
      <c r="G29" s="940">
        <v>395</v>
      </c>
      <c r="H29" s="940">
        <v>342</v>
      </c>
      <c r="I29" s="940">
        <v>472</v>
      </c>
      <c r="J29" s="877">
        <v>421</v>
      </c>
      <c r="K29" s="877">
        <v>335</v>
      </c>
      <c r="L29" s="991">
        <v>400</v>
      </c>
      <c r="M29" s="991">
        <v>400</v>
      </c>
      <c r="N29" s="991">
        <v>47</v>
      </c>
      <c r="O29" s="1151">
        <f t="shared" si="1"/>
        <v>60</v>
      </c>
      <c r="P29" s="992">
        <f t="shared" si="2"/>
        <v>35</v>
      </c>
      <c r="Q29" s="943"/>
      <c r="R29" s="1152">
        <f t="shared" si="3"/>
        <v>142</v>
      </c>
      <c r="S29" s="1141">
        <f t="shared" si="4"/>
        <v>35.5</v>
      </c>
      <c r="T29" s="1068"/>
      <c r="U29" s="940">
        <v>107</v>
      </c>
      <c r="V29" s="1548">
        <v>142</v>
      </c>
      <c r="W29" s="877"/>
    </row>
    <row r="30" spans="1:23" ht="15">
      <c r="A30" s="1546" t="s">
        <v>564</v>
      </c>
      <c r="B30" s="866" t="s">
        <v>688</v>
      </c>
      <c r="C30" s="1522">
        <v>10408</v>
      </c>
      <c r="D30" s="1522">
        <v>11792</v>
      </c>
      <c r="E30" s="1531">
        <v>521</v>
      </c>
      <c r="F30" s="940">
        <v>3261</v>
      </c>
      <c r="G30" s="940">
        <v>3450</v>
      </c>
      <c r="H30" s="940">
        <v>3902</v>
      </c>
      <c r="I30" s="940">
        <v>3956</v>
      </c>
      <c r="J30" s="877">
        <v>4219</v>
      </c>
      <c r="K30" s="877">
        <v>4044</v>
      </c>
      <c r="L30" s="991">
        <v>3719</v>
      </c>
      <c r="M30" s="991">
        <v>3782</v>
      </c>
      <c r="N30" s="991">
        <v>924</v>
      </c>
      <c r="O30" s="1151">
        <f t="shared" si="1"/>
        <v>908</v>
      </c>
      <c r="P30" s="992">
        <f t="shared" si="2"/>
        <v>994</v>
      </c>
      <c r="Q30" s="943"/>
      <c r="R30" s="1152">
        <f t="shared" si="3"/>
        <v>2826</v>
      </c>
      <c r="S30" s="1141">
        <f t="shared" si="4"/>
        <v>74.72236911686937</v>
      </c>
      <c r="T30" s="1068"/>
      <c r="U30" s="940">
        <v>1832</v>
      </c>
      <c r="V30" s="1548">
        <v>2826</v>
      </c>
      <c r="W30" s="877"/>
    </row>
    <row r="31" spans="1:23" ht="15">
      <c r="A31" s="1546" t="s">
        <v>566</v>
      </c>
      <c r="B31" s="866" t="s">
        <v>689</v>
      </c>
      <c r="C31" s="1522">
        <v>3640</v>
      </c>
      <c r="D31" s="1522">
        <v>4174</v>
      </c>
      <c r="E31" s="1531" t="s">
        <v>568</v>
      </c>
      <c r="F31" s="940">
        <v>1234</v>
      </c>
      <c r="G31" s="940">
        <v>1343</v>
      </c>
      <c r="H31" s="940">
        <v>1341</v>
      </c>
      <c r="I31" s="940">
        <v>1425</v>
      </c>
      <c r="J31" s="877">
        <v>1489</v>
      </c>
      <c r="K31" s="877">
        <v>1426</v>
      </c>
      <c r="L31" s="991">
        <v>1301</v>
      </c>
      <c r="M31" s="991">
        <v>1323</v>
      </c>
      <c r="N31" s="991">
        <v>320</v>
      </c>
      <c r="O31" s="1151">
        <f t="shared" si="1"/>
        <v>326</v>
      </c>
      <c r="P31" s="992">
        <f t="shared" si="2"/>
        <v>342</v>
      </c>
      <c r="Q31" s="943"/>
      <c r="R31" s="1152">
        <f t="shared" si="3"/>
        <v>988</v>
      </c>
      <c r="S31" s="1141">
        <f t="shared" si="4"/>
        <v>74.6787603930461</v>
      </c>
      <c r="T31" s="1068"/>
      <c r="U31" s="940">
        <v>646</v>
      </c>
      <c r="V31" s="1548">
        <v>988</v>
      </c>
      <c r="W31" s="877"/>
    </row>
    <row r="32" spans="1:23" ht="15">
      <c r="A32" s="1546" t="s">
        <v>569</v>
      </c>
      <c r="B32" s="866" t="s">
        <v>690</v>
      </c>
      <c r="C32" s="1522">
        <v>0</v>
      </c>
      <c r="D32" s="1522">
        <v>0</v>
      </c>
      <c r="E32" s="1531">
        <v>557</v>
      </c>
      <c r="F32" s="940">
        <v>0</v>
      </c>
      <c r="G32" s="940">
        <v>0</v>
      </c>
      <c r="H32" s="940">
        <v>0</v>
      </c>
      <c r="I32" s="940">
        <v>0</v>
      </c>
      <c r="J32" s="877">
        <v>0</v>
      </c>
      <c r="K32" s="877">
        <v>0</v>
      </c>
      <c r="L32" s="991"/>
      <c r="M32" s="991"/>
      <c r="N32" s="991">
        <v>0</v>
      </c>
      <c r="O32" s="1151">
        <f t="shared" si="1"/>
        <v>0</v>
      </c>
      <c r="P32" s="992">
        <f t="shared" si="2"/>
        <v>0</v>
      </c>
      <c r="Q32" s="943"/>
      <c r="R32" s="1152">
        <f t="shared" si="3"/>
        <v>0</v>
      </c>
      <c r="S32" s="1141" t="e">
        <f t="shared" si="4"/>
        <v>#DIV/0!</v>
      </c>
      <c r="T32" s="1068"/>
      <c r="U32" s="940">
        <v>0</v>
      </c>
      <c r="V32" s="1548">
        <v>0</v>
      </c>
      <c r="W32" s="877"/>
    </row>
    <row r="33" spans="1:23" ht="15">
      <c r="A33" s="1546" t="s">
        <v>571</v>
      </c>
      <c r="B33" s="866" t="s">
        <v>691</v>
      </c>
      <c r="C33" s="1522">
        <v>1711</v>
      </c>
      <c r="D33" s="1522">
        <v>1801</v>
      </c>
      <c r="E33" s="1531">
        <v>551</v>
      </c>
      <c r="F33" s="940">
        <v>91</v>
      </c>
      <c r="G33" s="940">
        <v>91</v>
      </c>
      <c r="H33" s="940">
        <v>84</v>
      </c>
      <c r="I33" s="940">
        <v>0</v>
      </c>
      <c r="J33" s="877">
        <v>0</v>
      </c>
      <c r="K33" s="877">
        <v>0</v>
      </c>
      <c r="L33" s="991"/>
      <c r="M33" s="991"/>
      <c r="N33" s="991">
        <v>0</v>
      </c>
      <c r="O33" s="1151">
        <f t="shared" si="1"/>
        <v>0</v>
      </c>
      <c r="P33" s="992">
        <f t="shared" si="2"/>
        <v>0</v>
      </c>
      <c r="Q33" s="943"/>
      <c r="R33" s="1152">
        <f t="shared" si="3"/>
        <v>0</v>
      </c>
      <c r="S33" s="1141" t="e">
        <f t="shared" si="4"/>
        <v>#DIV/0!</v>
      </c>
      <c r="T33" s="1068"/>
      <c r="U33" s="940">
        <v>0</v>
      </c>
      <c r="V33" s="1548">
        <v>0</v>
      </c>
      <c r="W33" s="877"/>
    </row>
    <row r="34" spans="1:23" ht="15.75" thickBot="1">
      <c r="A34" s="1543" t="s">
        <v>573</v>
      </c>
      <c r="B34" s="868" t="s">
        <v>692</v>
      </c>
      <c r="C34" s="1523">
        <v>569</v>
      </c>
      <c r="D34" s="1523">
        <v>614</v>
      </c>
      <c r="E34" s="1533" t="s">
        <v>574</v>
      </c>
      <c r="F34" s="920">
        <v>31</v>
      </c>
      <c r="G34" s="920">
        <v>15</v>
      </c>
      <c r="H34" s="920">
        <v>26</v>
      </c>
      <c r="I34" s="1164">
        <v>26</v>
      </c>
      <c r="J34" s="885">
        <v>36</v>
      </c>
      <c r="K34" s="885">
        <v>17</v>
      </c>
      <c r="L34" s="1104">
        <v>184</v>
      </c>
      <c r="M34" s="1104">
        <v>186</v>
      </c>
      <c r="N34" s="1034">
        <v>2</v>
      </c>
      <c r="O34" s="1151">
        <f t="shared" si="1"/>
        <v>7</v>
      </c>
      <c r="P34" s="1001">
        <f t="shared" si="2"/>
        <v>2</v>
      </c>
      <c r="Q34" s="934"/>
      <c r="R34" s="1154">
        <f t="shared" si="3"/>
        <v>11</v>
      </c>
      <c r="S34" s="1145">
        <f t="shared" si="4"/>
        <v>5.913978494623656</v>
      </c>
      <c r="T34" s="1068"/>
      <c r="U34" s="1164">
        <v>9</v>
      </c>
      <c r="V34" s="1549">
        <v>11</v>
      </c>
      <c r="W34" s="885"/>
    </row>
    <row r="35" spans="1:23" ht="15.75" thickBot="1">
      <c r="A35" s="1547" t="s">
        <v>575</v>
      </c>
      <c r="B35" s="1534" t="s">
        <v>576</v>
      </c>
      <c r="C35" s="1525">
        <f>SUM(C25:C34)</f>
        <v>25899</v>
      </c>
      <c r="D35" s="1525">
        <f>SUM(D25:D34)</f>
        <v>29268</v>
      </c>
      <c r="E35" s="1535"/>
      <c r="F35" s="1084">
        <f aca="true" t="shared" si="5" ref="F35:P35">SUM(F25:F34)</f>
        <v>6754</v>
      </c>
      <c r="G35" s="1178">
        <f t="shared" si="5"/>
        <v>6902</v>
      </c>
      <c r="H35" s="1178">
        <f t="shared" si="5"/>
        <v>7640</v>
      </c>
      <c r="I35" s="1084">
        <f t="shared" si="5"/>
        <v>7556</v>
      </c>
      <c r="J35" s="1023">
        <f>SUM(J25:J34)</f>
        <v>8800</v>
      </c>
      <c r="K35" s="1023">
        <f>SUM(K25:K34)</f>
        <v>8045</v>
      </c>
      <c r="L35" s="1107">
        <f t="shared" si="5"/>
        <v>7104</v>
      </c>
      <c r="M35" s="1108">
        <f t="shared" si="5"/>
        <v>7191</v>
      </c>
      <c r="N35" s="1108">
        <f t="shared" si="5"/>
        <v>1480</v>
      </c>
      <c r="O35" s="1026">
        <f t="shared" si="5"/>
        <v>1760</v>
      </c>
      <c r="P35" s="1026">
        <f t="shared" si="5"/>
        <v>1975</v>
      </c>
      <c r="Q35" s="1171"/>
      <c r="R35" s="1157">
        <f t="shared" si="3"/>
        <v>5215</v>
      </c>
      <c r="S35" s="1158">
        <f t="shared" si="4"/>
        <v>72.52120706438603</v>
      </c>
      <c r="T35" s="1068"/>
      <c r="U35" s="1023">
        <f>SUM(U25:U34)</f>
        <v>3240</v>
      </c>
      <c r="V35" s="1023">
        <f>SUM(V25:V34)</f>
        <v>5215</v>
      </c>
      <c r="W35" s="1023">
        <f>SUM(W25:W34)</f>
        <v>0</v>
      </c>
    </row>
    <row r="36" spans="1:23" ht="15">
      <c r="A36" s="1545" t="s">
        <v>577</v>
      </c>
      <c r="B36" s="862" t="s">
        <v>693</v>
      </c>
      <c r="C36" s="1521">
        <v>0</v>
      </c>
      <c r="D36" s="1521">
        <v>0</v>
      </c>
      <c r="E36" s="1529">
        <v>601</v>
      </c>
      <c r="F36" s="941">
        <v>0</v>
      </c>
      <c r="G36" s="941">
        <v>0</v>
      </c>
      <c r="H36" s="941">
        <v>0</v>
      </c>
      <c r="I36" s="941">
        <v>0</v>
      </c>
      <c r="J36" s="882">
        <v>0</v>
      </c>
      <c r="K36" s="882">
        <v>0</v>
      </c>
      <c r="L36" s="1100"/>
      <c r="M36" s="1111"/>
      <c r="N36" s="981">
        <v>0</v>
      </c>
      <c r="O36" s="1151">
        <f t="shared" si="1"/>
        <v>0</v>
      </c>
      <c r="P36" s="983">
        <f t="shared" si="2"/>
        <v>0</v>
      </c>
      <c r="Q36" s="1112"/>
      <c r="R36" s="1150">
        <f t="shared" si="3"/>
        <v>0</v>
      </c>
      <c r="S36" s="1138" t="e">
        <f t="shared" si="4"/>
        <v>#DIV/0!</v>
      </c>
      <c r="T36" s="1068"/>
      <c r="U36" s="941">
        <v>0</v>
      </c>
      <c r="V36" s="1553">
        <v>0</v>
      </c>
      <c r="W36" s="882"/>
    </row>
    <row r="37" spans="1:23" ht="15">
      <c r="A37" s="1546" t="s">
        <v>579</v>
      </c>
      <c r="B37" s="866" t="s">
        <v>694</v>
      </c>
      <c r="C37" s="1522">
        <v>1190</v>
      </c>
      <c r="D37" s="1522">
        <v>1857</v>
      </c>
      <c r="E37" s="1531">
        <v>602</v>
      </c>
      <c r="F37" s="940">
        <v>44</v>
      </c>
      <c r="G37" s="940">
        <v>379</v>
      </c>
      <c r="H37" s="940">
        <v>403</v>
      </c>
      <c r="I37" s="940">
        <v>756</v>
      </c>
      <c r="J37" s="877">
        <v>758</v>
      </c>
      <c r="K37" s="877">
        <v>627</v>
      </c>
      <c r="L37" s="991"/>
      <c r="M37" s="1092"/>
      <c r="N37" s="991">
        <v>150</v>
      </c>
      <c r="O37" s="1151">
        <f t="shared" si="1"/>
        <v>119</v>
      </c>
      <c r="P37" s="992">
        <f t="shared" si="2"/>
        <v>111</v>
      </c>
      <c r="Q37" s="943"/>
      <c r="R37" s="1152">
        <f t="shared" si="3"/>
        <v>380</v>
      </c>
      <c r="S37" s="1141" t="e">
        <f t="shared" si="4"/>
        <v>#DIV/0!</v>
      </c>
      <c r="T37" s="1068"/>
      <c r="U37" s="940">
        <v>269</v>
      </c>
      <c r="V37" s="1548">
        <v>380</v>
      </c>
      <c r="W37" s="877"/>
    </row>
    <row r="38" spans="1:23" ht="15">
      <c r="A38" s="1546" t="s">
        <v>581</v>
      </c>
      <c r="B38" s="866" t="s">
        <v>695</v>
      </c>
      <c r="C38" s="1522">
        <v>0</v>
      </c>
      <c r="D38" s="1522">
        <v>0</v>
      </c>
      <c r="E38" s="1531">
        <v>604</v>
      </c>
      <c r="F38" s="940">
        <v>0</v>
      </c>
      <c r="G38" s="940">
        <v>0</v>
      </c>
      <c r="H38" s="940">
        <v>0</v>
      </c>
      <c r="I38" s="940">
        <v>0</v>
      </c>
      <c r="J38" s="877"/>
      <c r="K38" s="877">
        <v>0</v>
      </c>
      <c r="L38" s="991"/>
      <c r="M38" s="1092"/>
      <c r="N38" s="991">
        <v>0</v>
      </c>
      <c r="O38" s="1151">
        <f t="shared" si="1"/>
        <v>0</v>
      </c>
      <c r="P38" s="992">
        <f t="shared" si="2"/>
        <v>0</v>
      </c>
      <c r="Q38" s="943"/>
      <c r="R38" s="1152">
        <f t="shared" si="3"/>
        <v>0</v>
      </c>
      <c r="S38" s="1141" t="e">
        <f t="shared" si="4"/>
        <v>#DIV/0!</v>
      </c>
      <c r="T38" s="1068"/>
      <c r="U38" s="940">
        <v>0</v>
      </c>
      <c r="V38" s="1548">
        <v>0</v>
      </c>
      <c r="W38" s="877"/>
    </row>
    <row r="39" spans="1:23" ht="15">
      <c r="A39" s="1546" t="s">
        <v>583</v>
      </c>
      <c r="B39" s="866" t="s">
        <v>696</v>
      </c>
      <c r="C39" s="1522">
        <v>12472</v>
      </c>
      <c r="D39" s="1522">
        <v>13728</v>
      </c>
      <c r="E39" s="1531" t="s">
        <v>585</v>
      </c>
      <c r="F39" s="940">
        <v>5931</v>
      </c>
      <c r="G39" s="940">
        <v>6054</v>
      </c>
      <c r="H39" s="940">
        <v>6752</v>
      </c>
      <c r="I39" s="940">
        <v>6825</v>
      </c>
      <c r="J39" s="877">
        <v>8064</v>
      </c>
      <c r="K39" s="877">
        <v>7481</v>
      </c>
      <c r="L39" s="991">
        <f>L35</f>
        <v>7104</v>
      </c>
      <c r="M39" s="1092">
        <v>7191</v>
      </c>
      <c r="N39" s="991">
        <v>1590</v>
      </c>
      <c r="O39" s="1151">
        <f t="shared" si="1"/>
        <v>1835</v>
      </c>
      <c r="P39" s="992">
        <f t="shared" si="2"/>
        <v>1851</v>
      </c>
      <c r="Q39" s="943"/>
      <c r="R39" s="1152">
        <f t="shared" si="3"/>
        <v>5276</v>
      </c>
      <c r="S39" s="1141">
        <f t="shared" si="4"/>
        <v>73.36948963982756</v>
      </c>
      <c r="T39" s="1068"/>
      <c r="U39" s="940">
        <v>3425</v>
      </c>
      <c r="V39" s="940">
        <v>5276</v>
      </c>
      <c r="W39" s="877"/>
    </row>
    <row r="40" spans="1:23" ht="15.75" thickBot="1">
      <c r="A40" s="1543" t="s">
        <v>586</v>
      </c>
      <c r="B40" s="868" t="s">
        <v>692</v>
      </c>
      <c r="C40" s="1523">
        <v>12330</v>
      </c>
      <c r="D40" s="1523">
        <v>13218</v>
      </c>
      <c r="E40" s="1533" t="s">
        <v>587</v>
      </c>
      <c r="F40" s="920">
        <v>813</v>
      </c>
      <c r="G40" s="920">
        <v>537</v>
      </c>
      <c r="H40" s="920">
        <v>615</v>
      </c>
      <c r="I40" s="1164">
        <v>32</v>
      </c>
      <c r="J40" s="885">
        <v>72</v>
      </c>
      <c r="K40" s="885">
        <v>108</v>
      </c>
      <c r="L40" s="1104"/>
      <c r="M40" s="1114"/>
      <c r="N40" s="1034">
        <v>11</v>
      </c>
      <c r="O40" s="1151">
        <f t="shared" si="1"/>
        <v>11</v>
      </c>
      <c r="P40" s="1001">
        <f t="shared" si="2"/>
        <v>25</v>
      </c>
      <c r="Q40" s="934"/>
      <c r="R40" s="1154">
        <f t="shared" si="3"/>
        <v>47</v>
      </c>
      <c r="S40" s="1145" t="e">
        <f t="shared" si="4"/>
        <v>#DIV/0!</v>
      </c>
      <c r="T40" s="1068"/>
      <c r="U40" s="1164">
        <v>22</v>
      </c>
      <c r="V40" s="1164">
        <v>47</v>
      </c>
      <c r="W40" s="885"/>
    </row>
    <row r="41" spans="1:23" ht="15.75" thickBot="1">
      <c r="A41" s="1547" t="s">
        <v>588</v>
      </c>
      <c r="B41" s="1534" t="s">
        <v>589</v>
      </c>
      <c r="C41" s="1525">
        <f>SUM(C36:C40)</f>
        <v>25992</v>
      </c>
      <c r="D41" s="1525">
        <f>SUM(D36:D40)</f>
        <v>28803</v>
      </c>
      <c r="E41" s="1535" t="s">
        <v>521</v>
      </c>
      <c r="F41" s="1084">
        <f aca="true" t="shared" si="6" ref="F41:Q41">SUM(F36:F40)</f>
        <v>6788</v>
      </c>
      <c r="G41" s="1084">
        <f t="shared" si="6"/>
        <v>6970</v>
      </c>
      <c r="H41" s="1178">
        <f t="shared" si="6"/>
        <v>7770</v>
      </c>
      <c r="I41" s="1084">
        <f t="shared" si="6"/>
        <v>7613</v>
      </c>
      <c r="J41" s="1023">
        <f>SUM(J36:J40)</f>
        <v>8894</v>
      </c>
      <c r="K41" s="1023">
        <f>SUM(K36:K40)</f>
        <v>8216</v>
      </c>
      <c r="L41" s="1107">
        <f t="shared" si="6"/>
        <v>7104</v>
      </c>
      <c r="M41" s="1108">
        <f t="shared" si="6"/>
        <v>7191</v>
      </c>
      <c r="N41" s="1023">
        <f t="shared" si="6"/>
        <v>1751</v>
      </c>
      <c r="O41" s="1023">
        <f t="shared" si="6"/>
        <v>1965</v>
      </c>
      <c r="P41" s="1028">
        <f t="shared" si="6"/>
        <v>1987</v>
      </c>
      <c r="Q41" s="890">
        <f t="shared" si="6"/>
        <v>0</v>
      </c>
      <c r="R41" s="1157">
        <f t="shared" si="3"/>
        <v>5703</v>
      </c>
      <c r="S41" s="1158">
        <f t="shared" si="4"/>
        <v>79.30746766791823</v>
      </c>
      <c r="T41" s="1068"/>
      <c r="U41" s="1023">
        <f>SUM(U36:U40)</f>
        <v>3716</v>
      </c>
      <c r="V41" s="1023">
        <f>SUM(V36:V40)</f>
        <v>5703</v>
      </c>
      <c r="W41" s="1023">
        <f>SUM(W36:W40)</f>
        <v>0</v>
      </c>
    </row>
    <row r="42" spans="1:23" ht="6.75" customHeight="1" thickBot="1">
      <c r="A42" s="1543"/>
      <c r="B42" s="1536"/>
      <c r="C42" s="1537"/>
      <c r="D42" s="1537"/>
      <c r="E42" s="1060"/>
      <c r="F42" s="920"/>
      <c r="G42" s="920"/>
      <c r="H42" s="920"/>
      <c r="I42" s="1527"/>
      <c r="J42" s="889"/>
      <c r="K42" s="889"/>
      <c r="L42" s="1117"/>
      <c r="M42" s="1118"/>
      <c r="N42" s="1033"/>
      <c r="O42" s="1151"/>
      <c r="P42" s="924"/>
      <c r="Q42" s="1039"/>
      <c r="R42" s="1159"/>
      <c r="S42" s="1160"/>
      <c r="T42" s="1068"/>
      <c r="U42" s="920"/>
      <c r="V42" s="920"/>
      <c r="W42" s="889"/>
    </row>
    <row r="43" spans="1:23" ht="15.75" thickBot="1">
      <c r="A43" s="1554" t="s">
        <v>590</v>
      </c>
      <c r="B43" s="1524" t="s">
        <v>552</v>
      </c>
      <c r="C43" s="1525">
        <f>+C41-C39</f>
        <v>13520</v>
      </c>
      <c r="D43" s="1525">
        <f>+D41-D39</f>
        <v>15075</v>
      </c>
      <c r="E43" s="1535" t="s">
        <v>521</v>
      </c>
      <c r="F43" s="1538">
        <f aca="true" t="shared" si="7" ref="F43:Q43">F41-F39</f>
        <v>857</v>
      </c>
      <c r="G43" s="1538">
        <f t="shared" si="7"/>
        <v>916</v>
      </c>
      <c r="H43" s="1538">
        <f t="shared" si="7"/>
        <v>1018</v>
      </c>
      <c r="I43" s="1084">
        <f>I41-I39</f>
        <v>788</v>
      </c>
      <c r="J43" s="1023">
        <f>J41-J39</f>
        <v>830</v>
      </c>
      <c r="K43" s="1023">
        <f>K41-K39</f>
        <v>735</v>
      </c>
      <c r="L43" s="1023">
        <f>L41-L39</f>
        <v>0</v>
      </c>
      <c r="M43" s="1030">
        <f t="shared" si="7"/>
        <v>0</v>
      </c>
      <c r="N43" s="1023">
        <f t="shared" si="7"/>
        <v>161</v>
      </c>
      <c r="O43" s="1023">
        <f t="shared" si="7"/>
        <v>130</v>
      </c>
      <c r="P43" s="1023">
        <f t="shared" si="7"/>
        <v>136</v>
      </c>
      <c r="Q43" s="889">
        <f t="shared" si="7"/>
        <v>0</v>
      </c>
      <c r="R43" s="1161">
        <f t="shared" si="3"/>
        <v>427</v>
      </c>
      <c r="S43" s="1116" t="e">
        <f t="shared" si="4"/>
        <v>#DIV/0!</v>
      </c>
      <c r="T43" s="1068"/>
      <c r="U43" s="1023">
        <f>U41-U39</f>
        <v>291</v>
      </c>
      <c r="V43" s="1023">
        <f>V41-V39</f>
        <v>427</v>
      </c>
      <c r="W43" s="1023">
        <f>W41-W39</f>
        <v>0</v>
      </c>
    </row>
    <row r="44" spans="1:23" ht="15.75" thickBot="1">
      <c r="A44" s="1547" t="s">
        <v>591</v>
      </c>
      <c r="B44" s="1524" t="s">
        <v>592</v>
      </c>
      <c r="C44" s="1525">
        <f>+C41-C35</f>
        <v>93</v>
      </c>
      <c r="D44" s="1525">
        <f>+D41-D35</f>
        <v>-465</v>
      </c>
      <c r="E44" s="1535" t="s">
        <v>521</v>
      </c>
      <c r="F44" s="1538">
        <f aca="true" t="shared" si="8" ref="F44:Q44">F41-F35</f>
        <v>34</v>
      </c>
      <c r="G44" s="1538">
        <f t="shared" si="8"/>
        <v>68</v>
      </c>
      <c r="H44" s="1538">
        <f t="shared" si="8"/>
        <v>130</v>
      </c>
      <c r="I44" s="1084">
        <f>I41-I35</f>
        <v>57</v>
      </c>
      <c r="J44" s="1023">
        <f>J41-J35</f>
        <v>94</v>
      </c>
      <c r="K44" s="1023">
        <f>K41-K35</f>
        <v>171</v>
      </c>
      <c r="L44" s="1023">
        <f>L41-L35</f>
        <v>0</v>
      </c>
      <c r="M44" s="1030">
        <f t="shared" si="8"/>
        <v>0</v>
      </c>
      <c r="N44" s="1023">
        <f t="shared" si="8"/>
        <v>271</v>
      </c>
      <c r="O44" s="1023">
        <f t="shared" si="8"/>
        <v>205</v>
      </c>
      <c r="P44" s="1023">
        <f t="shared" si="8"/>
        <v>12</v>
      </c>
      <c r="Q44" s="889">
        <f t="shared" si="8"/>
        <v>0</v>
      </c>
      <c r="R44" s="1161">
        <f t="shared" si="3"/>
        <v>488</v>
      </c>
      <c r="S44" s="1116" t="e">
        <f t="shared" si="4"/>
        <v>#DIV/0!</v>
      </c>
      <c r="T44" s="1068"/>
      <c r="U44" s="1023">
        <f>U41-U35</f>
        <v>476</v>
      </c>
      <c r="V44" s="1023">
        <f>V41-V35</f>
        <v>488</v>
      </c>
      <c r="W44" s="1023">
        <f>W41-W35</f>
        <v>0</v>
      </c>
    </row>
    <row r="45" spans="1:23" ht="15.75" thickBot="1">
      <c r="A45" s="1555" t="s">
        <v>593</v>
      </c>
      <c r="B45" s="910" t="s">
        <v>552</v>
      </c>
      <c r="C45" s="1539">
        <f>+C44-C39</f>
        <v>-12379</v>
      </c>
      <c r="D45" s="1539">
        <f>+D44-D39</f>
        <v>-14193</v>
      </c>
      <c r="E45" s="1061" t="s">
        <v>521</v>
      </c>
      <c r="F45" s="1538">
        <f aca="true" t="shared" si="9" ref="F45:Q45">F44-F39</f>
        <v>-5897</v>
      </c>
      <c r="G45" s="1538">
        <f t="shared" si="9"/>
        <v>-5986</v>
      </c>
      <c r="H45" s="1538">
        <f t="shared" si="9"/>
        <v>-6622</v>
      </c>
      <c r="I45" s="1084">
        <f t="shared" si="9"/>
        <v>-6768</v>
      </c>
      <c r="J45" s="1023">
        <f>J44-J39</f>
        <v>-7970</v>
      </c>
      <c r="K45" s="1023">
        <f>K44-K39</f>
        <v>-7310</v>
      </c>
      <c r="L45" s="1023">
        <f t="shared" si="9"/>
        <v>-7104</v>
      </c>
      <c r="M45" s="1030">
        <f t="shared" si="9"/>
        <v>-7191</v>
      </c>
      <c r="N45" s="1023">
        <f t="shared" si="9"/>
        <v>-1319</v>
      </c>
      <c r="O45" s="1023">
        <f t="shared" si="9"/>
        <v>-1630</v>
      </c>
      <c r="P45" s="1023">
        <f t="shared" si="9"/>
        <v>-1839</v>
      </c>
      <c r="Q45" s="889">
        <f t="shared" si="9"/>
        <v>0</v>
      </c>
      <c r="R45" s="1161">
        <f t="shared" si="3"/>
        <v>-4788</v>
      </c>
      <c r="S45" s="1030">
        <f t="shared" si="4"/>
        <v>66.58322903629536</v>
      </c>
      <c r="T45" s="1068"/>
      <c r="U45" s="1023">
        <f>U44-U39</f>
        <v>-2949</v>
      </c>
      <c r="V45" s="1023">
        <f>V44-V39</f>
        <v>-4788</v>
      </c>
      <c r="W45" s="1023">
        <f>W44-W39</f>
        <v>0</v>
      </c>
    </row>
    <row r="46" ht="12.75">
      <c r="A46" s="1053"/>
    </row>
    <row r="47" spans="1:5" ht="12.75">
      <c r="A47" s="1530"/>
      <c r="B47" s="1540"/>
      <c r="E47" s="1556" t="s">
        <v>741</v>
      </c>
    </row>
    <row r="48" ht="12.75">
      <c r="A48" s="1053"/>
    </row>
    <row r="49" spans="1:23" ht="14.25">
      <c r="A49" s="893" t="s">
        <v>697</v>
      </c>
      <c r="R49" s="108"/>
      <c r="S49" s="108"/>
      <c r="T49" s="108"/>
      <c r="U49" s="108"/>
      <c r="V49" s="108"/>
      <c r="W49" s="108"/>
    </row>
    <row r="50" spans="1:23" ht="14.25">
      <c r="A50" s="894" t="s">
        <v>698</v>
      </c>
      <c r="R50" s="108"/>
      <c r="S50" s="108"/>
      <c r="T50" s="108"/>
      <c r="U50" s="108"/>
      <c r="V50" s="108"/>
      <c r="W50" s="108"/>
    </row>
    <row r="51" spans="1:23" ht="14.25">
      <c r="A51" s="1047" t="s">
        <v>699</v>
      </c>
      <c r="R51" s="108"/>
      <c r="S51" s="108"/>
      <c r="T51" s="108"/>
      <c r="U51" s="108"/>
      <c r="V51" s="108"/>
      <c r="W51" s="108"/>
    </row>
    <row r="52" spans="1:23" ht="14.25">
      <c r="A52" s="1048"/>
      <c r="R52" s="108"/>
      <c r="S52" s="108"/>
      <c r="T52" s="108"/>
      <c r="U52" s="108"/>
      <c r="V52" s="108"/>
      <c r="W52" s="108"/>
    </row>
    <row r="53" spans="1:23" ht="12.75">
      <c r="A53" s="1053" t="s">
        <v>707</v>
      </c>
      <c r="R53" s="108"/>
      <c r="S53" s="108"/>
      <c r="T53" s="108"/>
      <c r="U53" s="108"/>
      <c r="V53" s="108"/>
      <c r="W53" s="108"/>
    </row>
    <row r="54" spans="1:23" ht="12.75">
      <c r="A54" s="1053"/>
      <c r="R54" s="108"/>
      <c r="S54" s="108"/>
      <c r="T54" s="108"/>
      <c r="U54" s="108"/>
      <c r="V54" s="108"/>
      <c r="W54" s="108"/>
    </row>
    <row r="55" spans="1:23" ht="12.75">
      <c r="A55" s="1053" t="s">
        <v>715</v>
      </c>
      <c r="R55" s="108"/>
      <c r="S55" s="108"/>
      <c r="T55" s="108"/>
      <c r="U55" s="108"/>
      <c r="V55" s="108"/>
      <c r="W55" s="108"/>
    </row>
    <row r="56" ht="12.75">
      <c r="A56" s="1053" t="s">
        <v>716</v>
      </c>
    </row>
    <row r="57" ht="12.75">
      <c r="A57" s="1053"/>
    </row>
    <row r="58" ht="12.75">
      <c r="A58" s="1053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9.140625" style="576" customWidth="1"/>
    <col min="6" max="9" width="0" style="108" hidden="1" customWidth="1"/>
    <col min="10" max="11" width="0" style="496" hidden="1" customWidth="1"/>
    <col min="12" max="12" width="11.57421875" style="496" customWidth="1"/>
    <col min="13" max="13" width="11.421875" style="496" customWidth="1"/>
    <col min="14" max="14" width="9.8515625" style="496" customWidth="1"/>
    <col min="15" max="15" width="9.140625" style="496" customWidth="1"/>
    <col min="16" max="16" width="9.28125" style="496" customWidth="1"/>
    <col min="17" max="17" width="9.140625" style="496" customWidth="1"/>
    <col min="18" max="18" width="12.00390625" style="496" customWidth="1"/>
    <col min="19" max="19" width="9.140625" style="478" customWidth="1"/>
    <col min="20" max="20" width="3.421875" style="496" customWidth="1"/>
    <col min="21" max="21" width="12.57421875" style="496" customWidth="1"/>
    <col min="22" max="22" width="11.8515625" style="496" customWidth="1"/>
    <col min="23" max="23" width="12.00390625" style="496" customWidth="1"/>
    <col min="24" max="16384" width="9.140625" style="108" customWidth="1"/>
  </cols>
  <sheetData>
    <row r="1" spans="1:23" ht="18">
      <c r="A1" s="1050" t="s">
        <v>665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</row>
    <row r="2" spans="1:14" ht="21.75" customHeight="1">
      <c r="A2" s="895" t="s">
        <v>595</v>
      </c>
      <c r="B2" s="896"/>
      <c r="M2" s="897"/>
      <c r="N2" s="897"/>
    </row>
    <row r="3" spans="1:14" ht="12.75">
      <c r="A3" s="902"/>
      <c r="M3" s="897"/>
      <c r="N3" s="897"/>
    </row>
    <row r="4" spans="1:14" ht="13.5" thickBot="1">
      <c r="A4" s="1053"/>
      <c r="B4" s="186"/>
      <c r="C4" s="186"/>
      <c r="D4" s="186"/>
      <c r="E4" s="577"/>
      <c r="F4" s="186"/>
      <c r="G4" s="186"/>
      <c r="M4" s="897"/>
      <c r="N4" s="897"/>
    </row>
    <row r="5" spans="1:14" ht="16.5" thickBot="1">
      <c r="A5" s="898" t="s">
        <v>709</v>
      </c>
      <c r="B5" s="899" t="s">
        <v>742</v>
      </c>
      <c r="C5" s="1187"/>
      <c r="D5" s="1187"/>
      <c r="E5" s="1188"/>
      <c r="F5" s="1187"/>
      <c r="G5" s="1189"/>
      <c r="H5" s="1189"/>
      <c r="I5" s="1189"/>
      <c r="J5" s="855"/>
      <c r="K5" s="855"/>
      <c r="L5" s="855"/>
      <c r="M5" s="901"/>
      <c r="N5" s="901"/>
    </row>
    <row r="6" spans="1:14" ht="23.25" customHeight="1" thickBot="1">
      <c r="A6" s="902" t="s">
        <v>494</v>
      </c>
      <c r="M6" s="897"/>
      <c r="N6" s="897"/>
    </row>
    <row r="7" spans="1:23" ht="13.5" thickBot="1">
      <c r="A7" s="1054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4" t="s">
        <v>502</v>
      </c>
      <c r="I7" s="906" t="s">
        <v>667</v>
      </c>
      <c r="J7" s="906" t="s">
        <v>668</v>
      </c>
      <c r="K7" s="906" t="s">
        <v>669</v>
      </c>
      <c r="L7" s="1055" t="s">
        <v>670</v>
      </c>
      <c r="M7" s="1055"/>
      <c r="N7" s="1055" t="s">
        <v>495</v>
      </c>
      <c r="O7" s="1055"/>
      <c r="P7" s="1055"/>
      <c r="Q7" s="1055"/>
      <c r="R7" s="1056" t="s">
        <v>671</v>
      </c>
      <c r="S7" s="1057" t="s">
        <v>497</v>
      </c>
      <c r="U7" s="907" t="s">
        <v>672</v>
      </c>
      <c r="V7" s="907"/>
      <c r="W7" s="907"/>
    </row>
    <row r="8" spans="1:23" ht="13.5" thickBot="1">
      <c r="A8" s="1054"/>
      <c r="B8" s="904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4"/>
      <c r="I8" s="904"/>
      <c r="J8" s="904"/>
      <c r="K8" s="904"/>
      <c r="L8" s="912" t="s">
        <v>31</v>
      </c>
      <c r="M8" s="912" t="s">
        <v>32</v>
      </c>
      <c r="N8" s="913" t="s">
        <v>508</v>
      </c>
      <c r="O8" s="1058" t="s">
        <v>511</v>
      </c>
      <c r="P8" s="914" t="s">
        <v>514</v>
      </c>
      <c r="Q8" s="915" t="s">
        <v>517</v>
      </c>
      <c r="R8" s="912" t="s">
        <v>518</v>
      </c>
      <c r="S8" s="1059" t="s">
        <v>519</v>
      </c>
      <c r="U8" s="1060" t="s">
        <v>676</v>
      </c>
      <c r="V8" s="1061" t="s">
        <v>677</v>
      </c>
      <c r="W8" s="1061" t="s">
        <v>678</v>
      </c>
    </row>
    <row r="9" spans="1:23" ht="12.75">
      <c r="A9" s="918" t="s">
        <v>520</v>
      </c>
      <c r="B9" s="599"/>
      <c r="C9" s="600">
        <v>104</v>
      </c>
      <c r="D9" s="600">
        <v>104</v>
      </c>
      <c r="E9" s="546"/>
      <c r="F9" s="1557">
        <v>36</v>
      </c>
      <c r="G9" s="1557">
        <v>35</v>
      </c>
      <c r="H9" s="1557">
        <v>35</v>
      </c>
      <c r="I9" s="857">
        <v>39</v>
      </c>
      <c r="J9" s="928">
        <v>40</v>
      </c>
      <c r="K9" s="928">
        <v>38</v>
      </c>
      <c r="L9" s="1569"/>
      <c r="M9" s="1569"/>
      <c r="N9" s="1570">
        <v>37</v>
      </c>
      <c r="O9" s="1571">
        <f>U9</f>
        <v>38</v>
      </c>
      <c r="P9" s="1572">
        <f>V9</f>
        <v>39</v>
      </c>
      <c r="Q9" s="1573"/>
      <c r="R9" s="1574" t="s">
        <v>521</v>
      </c>
      <c r="S9" s="1575" t="s">
        <v>521</v>
      </c>
      <c r="T9" s="1558"/>
      <c r="U9" s="1576">
        <v>38</v>
      </c>
      <c r="V9" s="1576">
        <v>39</v>
      </c>
      <c r="W9" s="928"/>
    </row>
    <row r="10" spans="1:23" ht="13.5" thickBot="1">
      <c r="A10" s="930" t="s">
        <v>522</v>
      </c>
      <c r="B10" s="606"/>
      <c r="C10" s="607">
        <v>101</v>
      </c>
      <c r="D10" s="607">
        <v>104</v>
      </c>
      <c r="E10" s="608"/>
      <c r="F10" s="654">
        <v>30</v>
      </c>
      <c r="G10" s="654">
        <v>27</v>
      </c>
      <c r="H10" s="654">
        <v>29</v>
      </c>
      <c r="I10" s="860">
        <v>30</v>
      </c>
      <c r="J10" s="938">
        <v>30</v>
      </c>
      <c r="K10" s="938">
        <v>31.6</v>
      </c>
      <c r="L10" s="860"/>
      <c r="M10" s="860"/>
      <c r="N10" s="1577">
        <v>31</v>
      </c>
      <c r="O10" s="1578">
        <f aca="true" t="shared" si="0" ref="O10:P21">U10</f>
        <v>32</v>
      </c>
      <c r="P10" s="1579">
        <f t="shared" si="0"/>
        <v>32</v>
      </c>
      <c r="Q10" s="1580"/>
      <c r="R10" s="1581" t="s">
        <v>521</v>
      </c>
      <c r="S10" s="1582" t="s">
        <v>521</v>
      </c>
      <c r="T10" s="1558"/>
      <c r="U10" s="1523">
        <v>32</v>
      </c>
      <c r="V10" s="1523">
        <v>32</v>
      </c>
      <c r="W10" s="938"/>
    </row>
    <row r="11" spans="1:23" ht="12.75">
      <c r="A11" s="939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630">
        <v>4399</v>
      </c>
      <c r="G11" s="630">
        <v>3859</v>
      </c>
      <c r="H11" s="630">
        <v>4022</v>
      </c>
      <c r="I11" s="864">
        <v>4276</v>
      </c>
      <c r="J11" s="947">
        <v>4648</v>
      </c>
      <c r="K11" s="947">
        <v>4674</v>
      </c>
      <c r="L11" s="1583" t="s">
        <v>521</v>
      </c>
      <c r="M11" s="1583" t="s">
        <v>521</v>
      </c>
      <c r="N11" s="1584">
        <v>4888</v>
      </c>
      <c r="O11" s="1571">
        <f t="shared" si="0"/>
        <v>4938</v>
      </c>
      <c r="P11" s="1585">
        <f t="shared" si="0"/>
        <v>5030</v>
      </c>
      <c r="Q11" s="1571"/>
      <c r="R11" s="1586" t="s">
        <v>521</v>
      </c>
      <c r="S11" s="1587" t="s">
        <v>521</v>
      </c>
      <c r="T11" s="1558"/>
      <c r="U11" s="1576">
        <v>4938</v>
      </c>
      <c r="V11" s="1576">
        <v>5030</v>
      </c>
      <c r="W11" s="947"/>
    </row>
    <row r="12" spans="1:23" ht="12.75">
      <c r="A12" s="949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630">
        <v>-4320</v>
      </c>
      <c r="G12" s="630">
        <v>-3736</v>
      </c>
      <c r="H12" s="630">
        <v>-3932</v>
      </c>
      <c r="I12" s="864">
        <v>4219</v>
      </c>
      <c r="J12" s="947">
        <v>4618</v>
      </c>
      <c r="K12" s="947">
        <v>4570</v>
      </c>
      <c r="L12" s="1588" t="s">
        <v>521</v>
      </c>
      <c r="M12" s="1588" t="s">
        <v>521</v>
      </c>
      <c r="N12" s="1589">
        <v>4659</v>
      </c>
      <c r="O12" s="1590">
        <f t="shared" si="0"/>
        <v>4657</v>
      </c>
      <c r="P12" s="1585">
        <f t="shared" si="0"/>
        <v>4762</v>
      </c>
      <c r="Q12" s="1590"/>
      <c r="R12" s="1586" t="s">
        <v>521</v>
      </c>
      <c r="S12" s="1587" t="s">
        <v>521</v>
      </c>
      <c r="T12" s="1558"/>
      <c r="U12" s="1522">
        <v>4657</v>
      </c>
      <c r="V12" s="1522">
        <v>4762</v>
      </c>
      <c r="W12" s="947"/>
    </row>
    <row r="13" spans="1:23" ht="12.75">
      <c r="A13" s="949" t="s">
        <v>529</v>
      </c>
      <c r="B13" s="629" t="s">
        <v>679</v>
      </c>
      <c r="C13" s="630">
        <v>604</v>
      </c>
      <c r="D13" s="630">
        <v>619</v>
      </c>
      <c r="E13" s="618" t="s">
        <v>531</v>
      </c>
      <c r="F13" s="630"/>
      <c r="G13" s="630"/>
      <c r="H13" s="630"/>
      <c r="I13" s="864"/>
      <c r="J13" s="947">
        <v>0</v>
      </c>
      <c r="K13" s="947">
        <v>0</v>
      </c>
      <c r="L13" s="1588" t="s">
        <v>521</v>
      </c>
      <c r="M13" s="1588" t="s">
        <v>521</v>
      </c>
      <c r="N13" s="1589"/>
      <c r="O13" s="1590">
        <f t="shared" si="0"/>
        <v>0</v>
      </c>
      <c r="P13" s="1585">
        <f t="shared" si="0"/>
        <v>0</v>
      </c>
      <c r="Q13" s="1590"/>
      <c r="R13" s="1586" t="s">
        <v>521</v>
      </c>
      <c r="S13" s="1587" t="s">
        <v>521</v>
      </c>
      <c r="T13" s="1558"/>
      <c r="U13" s="1522"/>
      <c r="V13" s="1522"/>
      <c r="W13" s="947"/>
    </row>
    <row r="14" spans="1:23" ht="12.75">
      <c r="A14" s="949" t="s">
        <v>532</v>
      </c>
      <c r="B14" s="629" t="s">
        <v>680</v>
      </c>
      <c r="C14" s="630">
        <v>221</v>
      </c>
      <c r="D14" s="630">
        <v>610</v>
      </c>
      <c r="E14" s="618" t="s">
        <v>521</v>
      </c>
      <c r="F14" s="630">
        <v>390</v>
      </c>
      <c r="G14" s="630">
        <v>391</v>
      </c>
      <c r="H14" s="630">
        <v>360</v>
      </c>
      <c r="I14" s="864">
        <v>435</v>
      </c>
      <c r="J14" s="947">
        <v>505</v>
      </c>
      <c r="K14" s="947">
        <v>416</v>
      </c>
      <c r="L14" s="1588" t="s">
        <v>521</v>
      </c>
      <c r="M14" s="1588" t="s">
        <v>521</v>
      </c>
      <c r="N14" s="1589">
        <v>603</v>
      </c>
      <c r="O14" s="1590">
        <f t="shared" si="0"/>
        <v>250</v>
      </c>
      <c r="P14" s="1585">
        <f t="shared" si="0"/>
        <v>341</v>
      </c>
      <c r="Q14" s="1590"/>
      <c r="R14" s="1586" t="s">
        <v>521</v>
      </c>
      <c r="S14" s="1587" t="s">
        <v>521</v>
      </c>
      <c r="T14" s="1558"/>
      <c r="U14" s="1522">
        <v>250</v>
      </c>
      <c r="V14" s="1522">
        <v>341</v>
      </c>
      <c r="W14" s="947"/>
    </row>
    <row r="15" spans="1:23" ht="13.5" thickBot="1">
      <c r="A15" s="918" t="s">
        <v>534</v>
      </c>
      <c r="B15" s="634" t="s">
        <v>681</v>
      </c>
      <c r="C15" s="635">
        <v>2021</v>
      </c>
      <c r="D15" s="635">
        <v>852</v>
      </c>
      <c r="E15" s="550" t="s">
        <v>536</v>
      </c>
      <c r="F15" s="706">
        <v>586</v>
      </c>
      <c r="G15" s="706">
        <v>1215</v>
      </c>
      <c r="H15" s="706">
        <v>2545</v>
      </c>
      <c r="I15" s="870">
        <v>1898</v>
      </c>
      <c r="J15" s="959">
        <v>1854</v>
      </c>
      <c r="K15" s="959">
        <v>1728</v>
      </c>
      <c r="L15" s="1591" t="s">
        <v>521</v>
      </c>
      <c r="M15" s="1591" t="s">
        <v>521</v>
      </c>
      <c r="N15" s="1592">
        <v>3157</v>
      </c>
      <c r="O15" s="1593">
        <f t="shared" si="0"/>
        <v>3928</v>
      </c>
      <c r="P15" s="1585">
        <f t="shared" si="0"/>
        <v>2967</v>
      </c>
      <c r="Q15" s="1578"/>
      <c r="R15" s="1594" t="s">
        <v>521</v>
      </c>
      <c r="S15" s="1575" t="s">
        <v>521</v>
      </c>
      <c r="T15" s="1558"/>
      <c r="U15" s="1528">
        <v>3928</v>
      </c>
      <c r="V15" s="1528">
        <v>2967</v>
      </c>
      <c r="W15" s="959"/>
    </row>
    <row r="16" spans="1:23" ht="15.75" thickBot="1">
      <c r="A16" s="961" t="s">
        <v>537</v>
      </c>
      <c r="B16" s="641"/>
      <c r="C16" s="642">
        <v>24618</v>
      </c>
      <c r="D16" s="642">
        <v>24087</v>
      </c>
      <c r="E16" s="643"/>
      <c r="F16" s="574">
        <v>1092</v>
      </c>
      <c r="G16" s="574">
        <v>1764</v>
      </c>
      <c r="H16" s="574">
        <v>3039</v>
      </c>
      <c r="I16" s="964">
        <v>2390</v>
      </c>
      <c r="J16" s="1525">
        <f>J11-J12+J13+J14+J15</f>
        <v>2389</v>
      </c>
      <c r="K16" s="1525">
        <f>K11-K12+K13+K14+K15</f>
        <v>2248</v>
      </c>
      <c r="L16" s="1595" t="s">
        <v>521</v>
      </c>
      <c r="M16" s="1595" t="s">
        <v>521</v>
      </c>
      <c r="N16" s="1596">
        <f>N11-N12+N13+N14+N15</f>
        <v>3989</v>
      </c>
      <c r="O16" s="1525">
        <f>O11-O12+O13+O14+O15</f>
        <v>4459</v>
      </c>
      <c r="P16" s="1525">
        <f>P11-P12+P13+P14+P15</f>
        <v>3576</v>
      </c>
      <c r="Q16" s="1597"/>
      <c r="R16" s="1598" t="s">
        <v>521</v>
      </c>
      <c r="S16" s="1599" t="s">
        <v>521</v>
      </c>
      <c r="T16" s="1558"/>
      <c r="U16" s="1600">
        <f>U11-U12+U13+U14+U15</f>
        <v>4459</v>
      </c>
      <c r="V16" s="1600">
        <f>V11-V12+V13+V14+V15</f>
        <v>3576</v>
      </c>
      <c r="W16" s="1601">
        <f>W11-W12+W13+W14+W15</f>
        <v>0</v>
      </c>
    </row>
    <row r="17" spans="1:23" ht="12.75">
      <c r="A17" s="91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706">
        <v>79</v>
      </c>
      <c r="G17" s="706">
        <v>123</v>
      </c>
      <c r="H17" s="706">
        <v>90</v>
      </c>
      <c r="I17" s="870">
        <v>57</v>
      </c>
      <c r="J17" s="959">
        <v>29</v>
      </c>
      <c r="K17" s="959">
        <v>104</v>
      </c>
      <c r="L17" s="1583" t="s">
        <v>521</v>
      </c>
      <c r="M17" s="1583" t="s">
        <v>521</v>
      </c>
      <c r="N17" s="1592">
        <v>227</v>
      </c>
      <c r="O17" s="1602">
        <f t="shared" si="0"/>
        <v>279</v>
      </c>
      <c r="P17" s="1585">
        <f>V17</f>
        <v>269</v>
      </c>
      <c r="Q17" s="1571"/>
      <c r="R17" s="1594" t="s">
        <v>521</v>
      </c>
      <c r="S17" s="1575" t="s">
        <v>521</v>
      </c>
      <c r="T17" s="1558"/>
      <c r="U17" s="1521">
        <v>279</v>
      </c>
      <c r="V17" s="1521">
        <v>269</v>
      </c>
      <c r="W17" s="959"/>
    </row>
    <row r="18" spans="1:23" ht="12.75">
      <c r="A18" s="949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630">
        <v>240</v>
      </c>
      <c r="G18" s="630">
        <v>204</v>
      </c>
      <c r="H18" s="630">
        <v>248</v>
      </c>
      <c r="I18" s="864">
        <v>150</v>
      </c>
      <c r="J18" s="947">
        <v>117</v>
      </c>
      <c r="K18" s="947">
        <v>152</v>
      </c>
      <c r="L18" s="1588" t="s">
        <v>521</v>
      </c>
      <c r="M18" s="1588" t="s">
        <v>521</v>
      </c>
      <c r="N18" s="1589">
        <v>165</v>
      </c>
      <c r="O18" s="1590">
        <f t="shared" si="0"/>
        <v>241</v>
      </c>
      <c r="P18" s="1585">
        <f>V18</f>
        <v>249</v>
      </c>
      <c r="Q18" s="1590"/>
      <c r="R18" s="1586" t="s">
        <v>521</v>
      </c>
      <c r="S18" s="1587" t="s">
        <v>521</v>
      </c>
      <c r="T18" s="1558"/>
      <c r="U18" s="1522">
        <v>241</v>
      </c>
      <c r="V18" s="1522">
        <v>249</v>
      </c>
      <c r="W18" s="947"/>
    </row>
    <row r="19" spans="1:23" ht="12.75">
      <c r="A19" s="949" t="s">
        <v>543</v>
      </c>
      <c r="B19" s="629" t="s">
        <v>682</v>
      </c>
      <c r="C19" s="630">
        <v>14718</v>
      </c>
      <c r="D19" s="630">
        <v>14718</v>
      </c>
      <c r="E19" s="618" t="s">
        <v>521</v>
      </c>
      <c r="F19" s="630"/>
      <c r="G19" s="630"/>
      <c r="H19" s="630"/>
      <c r="I19" s="864"/>
      <c r="J19" s="947">
        <v>0</v>
      </c>
      <c r="K19" s="947">
        <v>0</v>
      </c>
      <c r="L19" s="1588" t="s">
        <v>521</v>
      </c>
      <c r="M19" s="1588" t="s">
        <v>521</v>
      </c>
      <c r="N19" s="1589"/>
      <c r="O19" s="1590">
        <f t="shared" si="0"/>
        <v>0</v>
      </c>
      <c r="P19" s="1585">
        <f>V19</f>
        <v>0</v>
      </c>
      <c r="Q19" s="1590"/>
      <c r="R19" s="1586" t="s">
        <v>521</v>
      </c>
      <c r="S19" s="1587" t="s">
        <v>521</v>
      </c>
      <c r="T19" s="1558"/>
      <c r="U19" s="1522"/>
      <c r="V19" s="1522"/>
      <c r="W19" s="947"/>
    </row>
    <row r="20" spans="1:23" ht="12.75">
      <c r="A20" s="949" t="s">
        <v>545</v>
      </c>
      <c r="B20" s="629" t="s">
        <v>544</v>
      </c>
      <c r="C20" s="630">
        <v>1758</v>
      </c>
      <c r="D20" s="630">
        <v>1762</v>
      </c>
      <c r="E20" s="618" t="s">
        <v>521</v>
      </c>
      <c r="F20" s="630">
        <v>521</v>
      </c>
      <c r="G20" s="630">
        <v>1141</v>
      </c>
      <c r="H20" s="1522">
        <v>2065</v>
      </c>
      <c r="I20" s="864">
        <v>2183</v>
      </c>
      <c r="J20" s="947">
        <v>2222</v>
      </c>
      <c r="K20" s="947">
        <v>1845</v>
      </c>
      <c r="L20" s="1588" t="s">
        <v>521</v>
      </c>
      <c r="M20" s="1588" t="s">
        <v>521</v>
      </c>
      <c r="N20" s="1589">
        <v>3102</v>
      </c>
      <c r="O20" s="1590">
        <f t="shared" si="0"/>
        <v>3253</v>
      </c>
      <c r="P20" s="1585">
        <f>V20</f>
        <v>2846</v>
      </c>
      <c r="Q20" s="1590"/>
      <c r="R20" s="1586" t="s">
        <v>521</v>
      </c>
      <c r="S20" s="1587" t="s">
        <v>521</v>
      </c>
      <c r="T20" s="1558"/>
      <c r="U20" s="1522">
        <v>3253</v>
      </c>
      <c r="V20" s="1522">
        <v>2846</v>
      </c>
      <c r="W20" s="947"/>
    </row>
    <row r="21" spans="1:23" ht="13.5" thickBot="1">
      <c r="A21" s="930" t="s">
        <v>547</v>
      </c>
      <c r="B21" s="1148"/>
      <c r="C21" s="654">
        <v>0</v>
      </c>
      <c r="D21" s="654">
        <v>0</v>
      </c>
      <c r="E21" s="655" t="s">
        <v>521</v>
      </c>
      <c r="F21" s="630"/>
      <c r="G21" s="630"/>
      <c r="H21" s="1522"/>
      <c r="I21" s="860"/>
      <c r="J21" s="1052">
        <v>0</v>
      </c>
      <c r="K21" s="1052">
        <v>0</v>
      </c>
      <c r="L21" s="1581" t="s">
        <v>521</v>
      </c>
      <c r="M21" s="1581" t="s">
        <v>521</v>
      </c>
      <c r="N21" s="1603"/>
      <c r="O21" s="1578">
        <f t="shared" si="0"/>
        <v>0</v>
      </c>
      <c r="P21" s="1580">
        <f>V21</f>
        <v>0</v>
      </c>
      <c r="Q21" s="1578"/>
      <c r="R21" s="1604" t="s">
        <v>521</v>
      </c>
      <c r="S21" s="1605" t="s">
        <v>521</v>
      </c>
      <c r="T21" s="1558"/>
      <c r="U21" s="1523"/>
      <c r="V21" s="1523"/>
      <c r="W21" s="1052"/>
    </row>
    <row r="22" spans="1:23" ht="15.75" thickBot="1">
      <c r="A22" s="97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1559">
        <v>10052</v>
      </c>
      <c r="G22" s="1559">
        <v>10150</v>
      </c>
      <c r="H22" s="1560">
        <v>10890</v>
      </c>
      <c r="I22" s="875">
        <v>11223</v>
      </c>
      <c r="J22" s="875">
        <v>11842</v>
      </c>
      <c r="K22" s="875">
        <v>12072</v>
      </c>
      <c r="L22" s="560">
        <f>L35</f>
        <v>12419</v>
      </c>
      <c r="M22" s="560">
        <f>M23+M35</f>
        <v>12255</v>
      </c>
      <c r="N22" s="1606">
        <v>3087</v>
      </c>
      <c r="O22" s="1136">
        <f>U22-N22</f>
        <v>3133</v>
      </c>
      <c r="P22" s="1607">
        <f>V22-U22</f>
        <v>2669</v>
      </c>
      <c r="Q22" s="1608"/>
      <c r="R22" s="1609">
        <f>SUM(N22:Q22)</f>
        <v>8889</v>
      </c>
      <c r="S22" s="1610">
        <f>(R22/M22)*100</f>
        <v>72.53365973072215</v>
      </c>
      <c r="U22" s="1559">
        <v>6220</v>
      </c>
      <c r="V22" s="1559">
        <v>8889</v>
      </c>
      <c r="W22" s="875"/>
    </row>
    <row r="23" spans="1:23" ht="15.75" thickBot="1">
      <c r="A23" s="949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630"/>
      <c r="G23" s="630"/>
      <c r="H23" s="1561"/>
      <c r="I23" s="877"/>
      <c r="J23" s="877">
        <v>0</v>
      </c>
      <c r="K23" s="877">
        <v>9</v>
      </c>
      <c r="L23" s="557"/>
      <c r="M23" s="1611">
        <v>130</v>
      </c>
      <c r="N23" s="1612">
        <v>130</v>
      </c>
      <c r="O23" s="1139">
        <f aca="true" t="shared" si="1" ref="O23:O40">U23-N23</f>
        <v>0</v>
      </c>
      <c r="P23" s="1613">
        <f aca="true" t="shared" si="2" ref="P23:P40">V23-U23</f>
        <v>0</v>
      </c>
      <c r="Q23" s="1614"/>
      <c r="R23" s="1615">
        <f aca="true" t="shared" si="3" ref="R23:R45">SUM(N23:Q23)</f>
        <v>130</v>
      </c>
      <c r="S23" s="1610">
        <f aca="true" t="shared" si="4" ref="S23:S45">(R23/M23)*100</f>
        <v>100</v>
      </c>
      <c r="U23" s="630">
        <v>130</v>
      </c>
      <c r="V23" s="630">
        <v>130</v>
      </c>
      <c r="W23" s="877"/>
    </row>
    <row r="24" spans="1:23" ht="15.75" thickBot="1">
      <c r="A24" s="930" t="s">
        <v>553</v>
      </c>
      <c r="B24" s="1148" t="s">
        <v>552</v>
      </c>
      <c r="C24" s="654">
        <v>0</v>
      </c>
      <c r="D24" s="654">
        <v>1215</v>
      </c>
      <c r="E24" s="558">
        <v>672</v>
      </c>
      <c r="F24" s="1562">
        <v>570</v>
      </c>
      <c r="G24" s="1562">
        <v>625</v>
      </c>
      <c r="H24" s="1563">
        <v>625</v>
      </c>
      <c r="I24" s="880">
        <v>625</v>
      </c>
      <c r="J24" s="880">
        <v>650</v>
      </c>
      <c r="K24" s="880">
        <v>530</v>
      </c>
      <c r="L24" s="559">
        <f>L25+L26+L27+L28+L29</f>
        <v>650</v>
      </c>
      <c r="M24" s="559">
        <f>M25+M26+M27+M28+M29</f>
        <v>375</v>
      </c>
      <c r="N24" s="1616">
        <v>162</v>
      </c>
      <c r="O24" s="1143">
        <f t="shared" si="1"/>
        <v>162</v>
      </c>
      <c r="P24" s="1617">
        <f t="shared" si="2"/>
        <v>0</v>
      </c>
      <c r="Q24" s="1579"/>
      <c r="R24" s="1618">
        <f t="shared" si="3"/>
        <v>324</v>
      </c>
      <c r="S24" s="1610">
        <f t="shared" si="4"/>
        <v>86.4</v>
      </c>
      <c r="U24" s="654">
        <v>324</v>
      </c>
      <c r="V24" s="654">
        <v>324</v>
      </c>
      <c r="W24" s="880"/>
    </row>
    <row r="25" spans="1:23" ht="15.75" thickBot="1">
      <c r="A25" s="939" t="s">
        <v>554</v>
      </c>
      <c r="B25" s="1564" t="s">
        <v>683</v>
      </c>
      <c r="C25" s="617">
        <v>6341</v>
      </c>
      <c r="D25" s="617">
        <v>6960</v>
      </c>
      <c r="E25" s="554">
        <v>501</v>
      </c>
      <c r="F25" s="630">
        <v>300</v>
      </c>
      <c r="G25" s="630">
        <v>580</v>
      </c>
      <c r="H25" s="1522">
        <v>365</v>
      </c>
      <c r="I25" s="882">
        <v>729</v>
      </c>
      <c r="J25" s="882">
        <v>705</v>
      </c>
      <c r="K25" s="882">
        <v>184</v>
      </c>
      <c r="L25" s="560"/>
      <c r="M25" s="560"/>
      <c r="N25" s="1619">
        <v>65</v>
      </c>
      <c r="O25" s="1139">
        <f t="shared" si="1"/>
        <v>93</v>
      </c>
      <c r="P25" s="1620">
        <f t="shared" si="2"/>
        <v>47</v>
      </c>
      <c r="Q25" s="1608"/>
      <c r="R25" s="1609">
        <f t="shared" si="3"/>
        <v>205</v>
      </c>
      <c r="S25" s="1610" t="e">
        <f t="shared" si="4"/>
        <v>#DIV/0!</v>
      </c>
      <c r="U25" s="617">
        <v>158</v>
      </c>
      <c r="V25" s="617">
        <v>205</v>
      </c>
      <c r="W25" s="882"/>
    </row>
    <row r="26" spans="1:23" ht="15.75" thickBot="1">
      <c r="A26" s="949" t="s">
        <v>556</v>
      </c>
      <c r="B26" s="1565" t="s">
        <v>684</v>
      </c>
      <c r="C26" s="630">
        <v>1745</v>
      </c>
      <c r="D26" s="630">
        <v>2223</v>
      </c>
      <c r="E26" s="556">
        <v>502</v>
      </c>
      <c r="F26" s="630">
        <v>719</v>
      </c>
      <c r="G26" s="630">
        <v>396</v>
      </c>
      <c r="H26" s="1522">
        <v>594</v>
      </c>
      <c r="I26" s="877">
        <v>550</v>
      </c>
      <c r="J26" s="877">
        <v>754</v>
      </c>
      <c r="K26" s="877">
        <v>609</v>
      </c>
      <c r="L26" s="557">
        <v>250</v>
      </c>
      <c r="M26" s="557">
        <v>250</v>
      </c>
      <c r="N26" s="1612">
        <v>104</v>
      </c>
      <c r="O26" s="1139">
        <f t="shared" si="1"/>
        <v>142</v>
      </c>
      <c r="P26" s="1613">
        <f t="shared" si="2"/>
        <v>135</v>
      </c>
      <c r="Q26" s="1614"/>
      <c r="R26" s="1615">
        <f t="shared" si="3"/>
        <v>381</v>
      </c>
      <c r="S26" s="1610">
        <f t="shared" si="4"/>
        <v>152.4</v>
      </c>
      <c r="U26" s="630">
        <v>246</v>
      </c>
      <c r="V26" s="630">
        <v>381</v>
      </c>
      <c r="W26" s="877"/>
    </row>
    <row r="27" spans="1:23" ht="15.75" thickBot="1">
      <c r="A27" s="949" t="s">
        <v>558</v>
      </c>
      <c r="B27" s="1565" t="s">
        <v>685</v>
      </c>
      <c r="C27" s="630">
        <v>0</v>
      </c>
      <c r="D27" s="630">
        <v>0</v>
      </c>
      <c r="E27" s="556">
        <v>504</v>
      </c>
      <c r="F27" s="630"/>
      <c r="G27" s="630"/>
      <c r="H27" s="1522"/>
      <c r="I27" s="877"/>
      <c r="J27" s="877">
        <v>0</v>
      </c>
      <c r="K27" s="877">
        <v>0</v>
      </c>
      <c r="L27" s="557"/>
      <c r="M27" s="557"/>
      <c r="N27" s="1612"/>
      <c r="O27" s="1139">
        <f t="shared" si="1"/>
        <v>0</v>
      </c>
      <c r="P27" s="1613">
        <f t="shared" si="2"/>
        <v>0</v>
      </c>
      <c r="Q27" s="1614"/>
      <c r="R27" s="1615">
        <f t="shared" si="3"/>
        <v>0</v>
      </c>
      <c r="S27" s="1610" t="e">
        <f t="shared" si="4"/>
        <v>#DIV/0!</v>
      </c>
      <c r="U27" s="630"/>
      <c r="V27" s="630"/>
      <c r="W27" s="877"/>
    </row>
    <row r="28" spans="1:23" ht="15.75" thickBot="1">
      <c r="A28" s="949" t="s">
        <v>560</v>
      </c>
      <c r="B28" s="1565" t="s">
        <v>686</v>
      </c>
      <c r="C28" s="630">
        <v>428</v>
      </c>
      <c r="D28" s="630">
        <v>253</v>
      </c>
      <c r="E28" s="556">
        <v>511</v>
      </c>
      <c r="F28" s="630">
        <v>725</v>
      </c>
      <c r="G28" s="630">
        <v>377</v>
      </c>
      <c r="H28" s="1522">
        <v>293</v>
      </c>
      <c r="I28" s="877">
        <v>911</v>
      </c>
      <c r="J28" s="877">
        <v>286</v>
      </c>
      <c r="K28" s="877">
        <v>623</v>
      </c>
      <c r="L28" s="557">
        <v>400</v>
      </c>
      <c r="M28" s="557">
        <v>125</v>
      </c>
      <c r="N28" s="1612">
        <v>86</v>
      </c>
      <c r="O28" s="1139">
        <f t="shared" si="1"/>
        <v>70</v>
      </c>
      <c r="P28" s="1613">
        <f t="shared" si="2"/>
        <v>65</v>
      </c>
      <c r="Q28" s="1614"/>
      <c r="R28" s="1615">
        <f t="shared" si="3"/>
        <v>221</v>
      </c>
      <c r="S28" s="1610">
        <f t="shared" si="4"/>
        <v>176.8</v>
      </c>
      <c r="U28" s="630">
        <v>156</v>
      </c>
      <c r="V28" s="630">
        <v>221</v>
      </c>
      <c r="W28" s="877"/>
    </row>
    <row r="29" spans="1:23" ht="15.75" thickBot="1">
      <c r="A29" s="949" t="s">
        <v>562</v>
      </c>
      <c r="B29" s="1565" t="s">
        <v>687</v>
      </c>
      <c r="C29" s="630">
        <v>1057</v>
      </c>
      <c r="D29" s="630">
        <v>1451</v>
      </c>
      <c r="E29" s="556">
        <v>518</v>
      </c>
      <c r="F29" s="630">
        <v>405</v>
      </c>
      <c r="G29" s="630">
        <v>397</v>
      </c>
      <c r="H29" s="1522">
        <v>322</v>
      </c>
      <c r="I29" s="877">
        <v>346</v>
      </c>
      <c r="J29" s="877">
        <v>311</v>
      </c>
      <c r="K29" s="877">
        <v>365</v>
      </c>
      <c r="L29" s="557"/>
      <c r="M29" s="557"/>
      <c r="N29" s="1612">
        <v>69</v>
      </c>
      <c r="O29" s="1139">
        <f t="shared" si="1"/>
        <v>163</v>
      </c>
      <c r="P29" s="1613">
        <f t="shared" si="2"/>
        <v>88</v>
      </c>
      <c r="Q29" s="1614"/>
      <c r="R29" s="1615">
        <f t="shared" si="3"/>
        <v>320</v>
      </c>
      <c r="S29" s="1610" t="e">
        <f t="shared" si="4"/>
        <v>#DIV/0!</v>
      </c>
      <c r="U29" s="630">
        <v>232</v>
      </c>
      <c r="V29" s="630">
        <v>320</v>
      </c>
      <c r="W29" s="877"/>
    </row>
    <row r="30" spans="1:23" ht="15.75" thickBot="1">
      <c r="A30" s="949" t="s">
        <v>564</v>
      </c>
      <c r="B30" s="1566" t="s">
        <v>688</v>
      </c>
      <c r="C30" s="630">
        <v>10408</v>
      </c>
      <c r="D30" s="630">
        <v>11792</v>
      </c>
      <c r="E30" s="556">
        <v>521</v>
      </c>
      <c r="F30" s="630">
        <v>6946</v>
      </c>
      <c r="G30" s="630">
        <v>6990</v>
      </c>
      <c r="H30" s="1522">
        <v>7549</v>
      </c>
      <c r="I30" s="877">
        <v>7781</v>
      </c>
      <c r="J30" s="877">
        <v>8377</v>
      </c>
      <c r="K30" s="877">
        <v>8716</v>
      </c>
      <c r="L30" s="557">
        <v>8718</v>
      </c>
      <c r="M30" s="557">
        <v>8704</v>
      </c>
      <c r="N30" s="1612">
        <v>2112</v>
      </c>
      <c r="O30" s="1139">
        <f t="shared" si="1"/>
        <v>2107</v>
      </c>
      <c r="P30" s="1613">
        <f t="shared" si="2"/>
        <v>2136</v>
      </c>
      <c r="Q30" s="1614"/>
      <c r="R30" s="1615">
        <f t="shared" si="3"/>
        <v>6355</v>
      </c>
      <c r="S30" s="1610">
        <f t="shared" si="4"/>
        <v>73.01240808823529</v>
      </c>
      <c r="U30" s="630">
        <v>4219</v>
      </c>
      <c r="V30" s="630">
        <v>6355</v>
      </c>
      <c r="W30" s="877"/>
    </row>
    <row r="31" spans="1:23" ht="15.75" thickBot="1">
      <c r="A31" s="949" t="s">
        <v>566</v>
      </c>
      <c r="B31" s="1566" t="s">
        <v>689</v>
      </c>
      <c r="C31" s="630">
        <v>3640</v>
      </c>
      <c r="D31" s="630">
        <v>4174</v>
      </c>
      <c r="E31" s="556" t="s">
        <v>568</v>
      </c>
      <c r="F31" s="630">
        <v>2596</v>
      </c>
      <c r="G31" s="630">
        <v>2700</v>
      </c>
      <c r="H31" s="1522">
        <v>2709</v>
      </c>
      <c r="I31" s="877">
        <v>2878</v>
      </c>
      <c r="J31" s="877">
        <v>3044</v>
      </c>
      <c r="K31" s="877">
        <v>3128</v>
      </c>
      <c r="L31" s="557">
        <v>3051</v>
      </c>
      <c r="M31" s="557">
        <v>3046</v>
      </c>
      <c r="N31" s="1612">
        <v>759</v>
      </c>
      <c r="O31" s="1139">
        <f t="shared" si="1"/>
        <v>752</v>
      </c>
      <c r="P31" s="1613">
        <f t="shared" si="2"/>
        <v>756</v>
      </c>
      <c r="Q31" s="1614"/>
      <c r="R31" s="1615">
        <f t="shared" si="3"/>
        <v>2267</v>
      </c>
      <c r="S31" s="1610">
        <f t="shared" si="4"/>
        <v>74.42547603414313</v>
      </c>
      <c r="U31" s="630">
        <v>1511</v>
      </c>
      <c r="V31" s="630">
        <v>2267</v>
      </c>
      <c r="W31" s="877"/>
    </row>
    <row r="32" spans="1:23" ht="15.75" thickBot="1">
      <c r="A32" s="949" t="s">
        <v>569</v>
      </c>
      <c r="B32" s="1565" t="s">
        <v>690</v>
      </c>
      <c r="C32" s="630">
        <v>0</v>
      </c>
      <c r="D32" s="630">
        <v>0</v>
      </c>
      <c r="E32" s="556">
        <v>557</v>
      </c>
      <c r="F32" s="630"/>
      <c r="G32" s="630"/>
      <c r="H32" s="1522"/>
      <c r="I32" s="877"/>
      <c r="J32" s="877">
        <v>0</v>
      </c>
      <c r="K32" s="877">
        <v>0</v>
      </c>
      <c r="L32" s="557"/>
      <c r="M32" s="557"/>
      <c r="N32" s="1612"/>
      <c r="O32" s="1139">
        <f t="shared" si="1"/>
        <v>0</v>
      </c>
      <c r="P32" s="1613">
        <f t="shared" si="2"/>
        <v>0</v>
      </c>
      <c r="Q32" s="1614"/>
      <c r="R32" s="1615">
        <f t="shared" si="3"/>
        <v>0</v>
      </c>
      <c r="S32" s="1610" t="e">
        <f>(R32/M32)*100</f>
        <v>#DIV/0!</v>
      </c>
      <c r="U32" s="630"/>
      <c r="V32" s="630"/>
      <c r="W32" s="877"/>
    </row>
    <row r="33" spans="1:23" ht="15.75" thickBot="1">
      <c r="A33" s="949" t="s">
        <v>571</v>
      </c>
      <c r="B33" s="1565" t="s">
        <v>691</v>
      </c>
      <c r="C33" s="630">
        <v>1711</v>
      </c>
      <c r="D33" s="630">
        <v>1801</v>
      </c>
      <c r="E33" s="556">
        <v>551</v>
      </c>
      <c r="F33" s="630">
        <v>46</v>
      </c>
      <c r="G33" s="630">
        <v>20</v>
      </c>
      <c r="H33" s="1522">
        <v>33</v>
      </c>
      <c r="I33" s="877">
        <v>33</v>
      </c>
      <c r="J33" s="877">
        <v>27</v>
      </c>
      <c r="K33" s="877">
        <v>26</v>
      </c>
      <c r="L33" s="557"/>
      <c r="M33" s="557"/>
      <c r="N33" s="1612">
        <v>6</v>
      </c>
      <c r="O33" s="1139">
        <f t="shared" si="1"/>
        <v>11</v>
      </c>
      <c r="P33" s="1613">
        <f t="shared" si="2"/>
        <v>12</v>
      </c>
      <c r="Q33" s="1614"/>
      <c r="R33" s="1615">
        <f t="shared" si="3"/>
        <v>29</v>
      </c>
      <c r="S33" s="1610" t="e">
        <f t="shared" si="4"/>
        <v>#DIV/0!</v>
      </c>
      <c r="U33" s="630">
        <v>17</v>
      </c>
      <c r="V33" s="630">
        <v>29</v>
      </c>
      <c r="W33" s="877"/>
    </row>
    <row r="34" spans="1:23" ht="15.75" thickBot="1">
      <c r="A34" s="918" t="s">
        <v>573</v>
      </c>
      <c r="B34" s="1567" t="s">
        <v>692</v>
      </c>
      <c r="C34" s="635">
        <v>569</v>
      </c>
      <c r="D34" s="635">
        <v>614</v>
      </c>
      <c r="E34" s="561" t="s">
        <v>574</v>
      </c>
      <c r="F34" s="706">
        <v>45</v>
      </c>
      <c r="G34" s="706">
        <v>193</v>
      </c>
      <c r="H34" s="1537">
        <v>77</v>
      </c>
      <c r="I34" s="885">
        <v>52</v>
      </c>
      <c r="J34" s="885">
        <v>46</v>
      </c>
      <c r="K34" s="885">
        <v>71</v>
      </c>
      <c r="L34" s="562"/>
      <c r="M34" s="562"/>
      <c r="N34" s="1621">
        <v>87</v>
      </c>
      <c r="O34" s="1139">
        <f t="shared" si="1"/>
        <v>16</v>
      </c>
      <c r="P34" s="1622">
        <f t="shared" si="2"/>
        <v>93</v>
      </c>
      <c r="Q34" s="1579"/>
      <c r="R34" s="1618">
        <f t="shared" si="3"/>
        <v>196</v>
      </c>
      <c r="S34" s="1610" t="e">
        <f t="shared" si="4"/>
        <v>#DIV/0!</v>
      </c>
      <c r="U34" s="635">
        <v>103</v>
      </c>
      <c r="V34" s="635">
        <v>196</v>
      </c>
      <c r="W34" s="885"/>
    </row>
    <row r="35" spans="1:23" ht="15.75" thickBot="1">
      <c r="A35" s="1022" t="s">
        <v>575</v>
      </c>
      <c r="B35" s="1568" t="s">
        <v>576</v>
      </c>
      <c r="C35" s="574">
        <f>SUM(C25:C34)</f>
        <v>25899</v>
      </c>
      <c r="D35" s="574">
        <f>SUM(D25:D34)</f>
        <v>29268</v>
      </c>
      <c r="E35" s="693"/>
      <c r="F35" s="574">
        <f aca="true" t="shared" si="5" ref="F35:P35">SUM(F25:F34)</f>
        <v>11782</v>
      </c>
      <c r="G35" s="574">
        <f t="shared" si="5"/>
        <v>11653</v>
      </c>
      <c r="H35" s="574">
        <f t="shared" si="5"/>
        <v>11942</v>
      </c>
      <c r="I35" s="1023">
        <f t="shared" si="5"/>
        <v>13280</v>
      </c>
      <c r="J35" s="1023">
        <f>SUM(J25:J34)</f>
        <v>13550</v>
      </c>
      <c r="K35" s="1023">
        <f>SUM(K25:K34)</f>
        <v>13722</v>
      </c>
      <c r="L35" s="695">
        <f t="shared" si="5"/>
        <v>12419</v>
      </c>
      <c r="M35" s="1623">
        <f t="shared" si="5"/>
        <v>12125</v>
      </c>
      <c r="N35" s="1623">
        <f t="shared" si="5"/>
        <v>3288</v>
      </c>
      <c r="O35" s="1624">
        <f t="shared" si="5"/>
        <v>3354</v>
      </c>
      <c r="P35" s="1625">
        <f t="shared" si="5"/>
        <v>3332</v>
      </c>
      <c r="Q35" s="1626"/>
      <c r="R35" s="1627">
        <f t="shared" si="3"/>
        <v>9974</v>
      </c>
      <c r="S35" s="1610">
        <f t="shared" si="4"/>
        <v>82.259793814433</v>
      </c>
      <c r="U35" s="574">
        <f>SUM(U25:U34)</f>
        <v>6642</v>
      </c>
      <c r="V35" s="574">
        <f>SUM(V25:V34)</f>
        <v>9974</v>
      </c>
      <c r="W35" s="574">
        <f>SUM(W25:W34)</f>
        <v>0</v>
      </c>
    </row>
    <row r="36" spans="1:23" ht="15.75" thickBot="1">
      <c r="A36" s="939" t="s">
        <v>577</v>
      </c>
      <c r="B36" s="1564" t="s">
        <v>693</v>
      </c>
      <c r="C36" s="617">
        <v>0</v>
      </c>
      <c r="D36" s="617">
        <v>0</v>
      </c>
      <c r="E36" s="554">
        <v>601</v>
      </c>
      <c r="F36" s="617"/>
      <c r="G36" s="617"/>
      <c r="H36" s="1521"/>
      <c r="I36" s="882"/>
      <c r="J36" s="882">
        <v>0</v>
      </c>
      <c r="K36" s="882">
        <v>0</v>
      </c>
      <c r="L36" s="560"/>
      <c r="M36" s="1628"/>
      <c r="N36" s="1606"/>
      <c r="O36" s="1139">
        <f t="shared" si="1"/>
        <v>0</v>
      </c>
      <c r="P36" s="1620">
        <f t="shared" si="2"/>
        <v>0</v>
      </c>
      <c r="Q36" s="1608"/>
      <c r="R36" s="1609">
        <f t="shared" si="3"/>
        <v>0</v>
      </c>
      <c r="S36" s="1610" t="e">
        <f t="shared" si="4"/>
        <v>#DIV/0!</v>
      </c>
      <c r="U36" s="617"/>
      <c r="V36" s="617"/>
      <c r="W36" s="882"/>
    </row>
    <row r="37" spans="1:23" ht="15.75" thickBot="1">
      <c r="A37" s="949" t="s">
        <v>579</v>
      </c>
      <c r="B37" s="1565" t="s">
        <v>694</v>
      </c>
      <c r="C37" s="630">
        <v>1190</v>
      </c>
      <c r="D37" s="630">
        <v>1857</v>
      </c>
      <c r="E37" s="556">
        <v>602</v>
      </c>
      <c r="F37" s="630">
        <v>1441</v>
      </c>
      <c r="G37" s="630">
        <v>1474</v>
      </c>
      <c r="H37" s="1522">
        <v>1395</v>
      </c>
      <c r="I37" s="877">
        <v>1564</v>
      </c>
      <c r="J37" s="877">
        <v>1628</v>
      </c>
      <c r="K37" s="877">
        <v>1758</v>
      </c>
      <c r="L37" s="557"/>
      <c r="M37" s="1611"/>
      <c r="N37" s="1612">
        <v>545</v>
      </c>
      <c r="O37" s="1139">
        <f t="shared" si="1"/>
        <v>538</v>
      </c>
      <c r="P37" s="1613">
        <f t="shared" si="2"/>
        <v>189</v>
      </c>
      <c r="Q37" s="1614"/>
      <c r="R37" s="1615">
        <f t="shared" si="3"/>
        <v>1272</v>
      </c>
      <c r="S37" s="1610" t="e">
        <f t="shared" si="4"/>
        <v>#DIV/0!</v>
      </c>
      <c r="U37" s="630">
        <v>1083</v>
      </c>
      <c r="V37" s="630">
        <v>1272</v>
      </c>
      <c r="W37" s="877"/>
    </row>
    <row r="38" spans="1:23" ht="15.75" thickBot="1">
      <c r="A38" s="949" t="s">
        <v>581</v>
      </c>
      <c r="B38" s="1565" t="s">
        <v>695</v>
      </c>
      <c r="C38" s="630">
        <v>0</v>
      </c>
      <c r="D38" s="630">
        <v>0</v>
      </c>
      <c r="E38" s="556">
        <v>604</v>
      </c>
      <c r="F38" s="630"/>
      <c r="G38" s="630"/>
      <c r="H38" s="1522"/>
      <c r="I38" s="877"/>
      <c r="J38" s="877">
        <v>0</v>
      </c>
      <c r="K38" s="877">
        <v>0</v>
      </c>
      <c r="L38" s="557"/>
      <c r="M38" s="1611"/>
      <c r="N38" s="1612"/>
      <c r="O38" s="1139">
        <f t="shared" si="1"/>
        <v>0</v>
      </c>
      <c r="P38" s="1613">
        <f t="shared" si="2"/>
        <v>0</v>
      </c>
      <c r="Q38" s="1614"/>
      <c r="R38" s="1615">
        <f t="shared" si="3"/>
        <v>0</v>
      </c>
      <c r="S38" s="1610" t="e">
        <f t="shared" si="4"/>
        <v>#DIV/0!</v>
      </c>
      <c r="U38" s="630"/>
      <c r="V38" s="630"/>
      <c r="W38" s="877"/>
    </row>
    <row r="39" spans="1:23" ht="15.75" thickBot="1">
      <c r="A39" s="949" t="s">
        <v>583</v>
      </c>
      <c r="B39" s="1565" t="s">
        <v>696</v>
      </c>
      <c r="C39" s="630">
        <v>12472</v>
      </c>
      <c r="D39" s="630">
        <v>13728</v>
      </c>
      <c r="E39" s="556" t="s">
        <v>585</v>
      </c>
      <c r="F39" s="630">
        <v>10052</v>
      </c>
      <c r="G39" s="630">
        <v>10150</v>
      </c>
      <c r="H39" s="1522">
        <v>10890</v>
      </c>
      <c r="I39" s="877">
        <v>11223</v>
      </c>
      <c r="J39" s="877">
        <v>11842</v>
      </c>
      <c r="K39" s="877">
        <v>12072</v>
      </c>
      <c r="L39" s="557">
        <f>L35</f>
        <v>12419</v>
      </c>
      <c r="M39" s="1611">
        <v>12125</v>
      </c>
      <c r="N39" s="1612">
        <v>3087</v>
      </c>
      <c r="O39" s="1139">
        <f t="shared" si="1"/>
        <v>3133</v>
      </c>
      <c r="P39" s="1613">
        <f t="shared" si="2"/>
        <v>2669</v>
      </c>
      <c r="Q39" s="1614"/>
      <c r="R39" s="1615">
        <f t="shared" si="3"/>
        <v>8889</v>
      </c>
      <c r="S39" s="1610">
        <f t="shared" si="4"/>
        <v>73.31134020618558</v>
      </c>
      <c r="U39" s="630">
        <v>6220</v>
      </c>
      <c r="V39" s="630">
        <v>8889</v>
      </c>
      <c r="W39" s="877"/>
    </row>
    <row r="40" spans="1:23" ht="15.75" thickBot="1">
      <c r="A40" s="918" t="s">
        <v>586</v>
      </c>
      <c r="B40" s="1567" t="s">
        <v>692</v>
      </c>
      <c r="C40" s="635">
        <v>12330</v>
      </c>
      <c r="D40" s="635">
        <v>13218</v>
      </c>
      <c r="E40" s="561" t="s">
        <v>587</v>
      </c>
      <c r="F40" s="706">
        <v>176</v>
      </c>
      <c r="G40" s="706">
        <v>40</v>
      </c>
      <c r="H40" s="1537">
        <v>73</v>
      </c>
      <c r="I40" s="885">
        <v>493</v>
      </c>
      <c r="J40" s="885">
        <v>100</v>
      </c>
      <c r="K40" s="885">
        <v>38</v>
      </c>
      <c r="L40" s="562"/>
      <c r="M40" s="1629"/>
      <c r="N40" s="1621">
        <v>5</v>
      </c>
      <c r="O40" s="1139">
        <f t="shared" si="1"/>
        <v>20</v>
      </c>
      <c r="P40" s="1617">
        <f t="shared" si="2"/>
        <v>-1</v>
      </c>
      <c r="Q40" s="1579"/>
      <c r="R40" s="1618">
        <f t="shared" si="3"/>
        <v>24</v>
      </c>
      <c r="S40" s="1610" t="e">
        <f t="shared" si="4"/>
        <v>#DIV/0!</v>
      </c>
      <c r="U40" s="635">
        <v>25</v>
      </c>
      <c r="V40" s="635">
        <v>24</v>
      </c>
      <c r="W40" s="885"/>
    </row>
    <row r="41" spans="1:23" ht="15.75" thickBot="1">
      <c r="A41" s="1022" t="s">
        <v>588</v>
      </c>
      <c r="B41" s="1568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574">
        <f aca="true" t="shared" si="6" ref="F41:Q41">SUM(F36:F40)</f>
        <v>11669</v>
      </c>
      <c r="G41" s="574">
        <f t="shared" si="6"/>
        <v>11664</v>
      </c>
      <c r="H41" s="574">
        <f t="shared" si="6"/>
        <v>12358</v>
      </c>
      <c r="I41" s="1023">
        <f t="shared" si="6"/>
        <v>13280</v>
      </c>
      <c r="J41" s="1023">
        <f>SUM(J36:J40)</f>
        <v>13570</v>
      </c>
      <c r="K41" s="1023">
        <f>SUM(K36:K40)</f>
        <v>13868</v>
      </c>
      <c r="L41" s="695">
        <f t="shared" si="6"/>
        <v>12419</v>
      </c>
      <c r="M41" s="1623">
        <f t="shared" si="6"/>
        <v>12125</v>
      </c>
      <c r="N41" s="1630">
        <f t="shared" si="6"/>
        <v>3637</v>
      </c>
      <c r="O41" s="1630">
        <f t="shared" si="6"/>
        <v>3691</v>
      </c>
      <c r="P41" s="713">
        <f t="shared" si="6"/>
        <v>2857</v>
      </c>
      <c r="Q41" s="1631">
        <f t="shared" si="6"/>
        <v>0</v>
      </c>
      <c r="R41" s="574">
        <f t="shared" si="3"/>
        <v>10185</v>
      </c>
      <c r="S41" s="1632">
        <f t="shared" si="4"/>
        <v>84</v>
      </c>
      <c r="U41" s="574">
        <f>SUM(U36:U40)</f>
        <v>7328</v>
      </c>
      <c r="V41" s="574">
        <f>SUM(V36:V40)</f>
        <v>10185</v>
      </c>
      <c r="W41" s="574">
        <f>SUM(W36:W40)</f>
        <v>0</v>
      </c>
    </row>
    <row r="42" spans="1:23" ht="6.75" customHeight="1" thickBot="1">
      <c r="A42" s="918"/>
      <c r="B42" s="551"/>
      <c r="C42" s="706"/>
      <c r="D42" s="706"/>
      <c r="E42" s="570"/>
      <c r="F42" s="706"/>
      <c r="G42" s="706"/>
      <c r="H42" s="706"/>
      <c r="I42" s="889"/>
      <c r="J42" s="889"/>
      <c r="K42" s="889"/>
      <c r="L42" s="573"/>
      <c r="M42" s="1633"/>
      <c r="N42" s="1634"/>
      <c r="O42" s="1635"/>
      <c r="P42" s="1636"/>
      <c r="Q42" s="539"/>
      <c r="R42" s="664"/>
      <c r="S42" s="1632"/>
      <c r="U42" s="706"/>
      <c r="V42" s="706"/>
      <c r="W42" s="889"/>
    </row>
    <row r="43" spans="1:23" ht="15.75" thickBot="1">
      <c r="A43" s="1041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574">
        <f aca="true" t="shared" si="7" ref="F43:Q43">F41-F39</f>
        <v>1617</v>
      </c>
      <c r="G43" s="574">
        <f t="shared" si="7"/>
        <v>1514</v>
      </c>
      <c r="H43" s="574">
        <f t="shared" si="7"/>
        <v>1468</v>
      </c>
      <c r="I43" s="1023">
        <f>I41-I39</f>
        <v>2057</v>
      </c>
      <c r="J43" s="1023">
        <f>J41-J39</f>
        <v>1728</v>
      </c>
      <c r="K43" s="1023">
        <f>K41-K39</f>
        <v>1796</v>
      </c>
      <c r="L43" s="574">
        <f>L41-L39</f>
        <v>0</v>
      </c>
      <c r="M43" s="1637">
        <f t="shared" si="7"/>
        <v>0</v>
      </c>
      <c r="N43" s="1630">
        <f t="shared" si="7"/>
        <v>550</v>
      </c>
      <c r="O43" s="1630">
        <f t="shared" si="7"/>
        <v>558</v>
      </c>
      <c r="P43" s="574">
        <f t="shared" si="7"/>
        <v>188</v>
      </c>
      <c r="Q43" s="1627">
        <f t="shared" si="7"/>
        <v>0</v>
      </c>
      <c r="R43" s="664">
        <f t="shared" si="3"/>
        <v>1296</v>
      </c>
      <c r="S43" s="1632" t="e">
        <f t="shared" si="4"/>
        <v>#DIV/0!</v>
      </c>
      <c r="U43" s="574">
        <f>U41-U39</f>
        <v>1108</v>
      </c>
      <c r="V43" s="574">
        <f>V41-V39</f>
        <v>1296</v>
      </c>
      <c r="W43" s="574">
        <f>W41-W39</f>
        <v>0</v>
      </c>
    </row>
    <row r="44" spans="1:23" ht="15.75" thickBot="1">
      <c r="A44" s="1022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574">
        <f aca="true" t="shared" si="8" ref="F44:Q44">F41-F35</f>
        <v>-113</v>
      </c>
      <c r="G44" s="574">
        <f t="shared" si="8"/>
        <v>11</v>
      </c>
      <c r="H44" s="574">
        <f t="shared" si="8"/>
        <v>416</v>
      </c>
      <c r="I44" s="1023">
        <f>I41-I35</f>
        <v>0</v>
      </c>
      <c r="J44" s="1023">
        <f>J41-J35</f>
        <v>20</v>
      </c>
      <c r="K44" s="1023">
        <f>K41-K35</f>
        <v>146</v>
      </c>
      <c r="L44" s="574">
        <f>L41-L35</f>
        <v>0</v>
      </c>
      <c r="M44" s="1637">
        <f t="shared" si="8"/>
        <v>0</v>
      </c>
      <c r="N44" s="1630">
        <f t="shared" si="8"/>
        <v>349</v>
      </c>
      <c r="O44" s="1630">
        <f t="shared" si="8"/>
        <v>337</v>
      </c>
      <c r="P44" s="574">
        <f t="shared" si="8"/>
        <v>-475</v>
      </c>
      <c r="Q44" s="1627">
        <f t="shared" si="8"/>
        <v>0</v>
      </c>
      <c r="R44" s="664">
        <f t="shared" si="3"/>
        <v>211</v>
      </c>
      <c r="S44" s="1632" t="e">
        <f t="shared" si="4"/>
        <v>#DIV/0!</v>
      </c>
      <c r="U44" s="574">
        <f>U41-U35</f>
        <v>686</v>
      </c>
      <c r="V44" s="574">
        <f>V41-V35</f>
        <v>211</v>
      </c>
      <c r="W44" s="574">
        <f>W41-W35</f>
        <v>0</v>
      </c>
    </row>
    <row r="45" spans="1:23" ht="15.75" thickBot="1">
      <c r="A45" s="1045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574">
        <f aca="true" t="shared" si="9" ref="F45:Q45">F44-F39</f>
        <v>-10165</v>
      </c>
      <c r="G45" s="574">
        <f t="shared" si="9"/>
        <v>-10139</v>
      </c>
      <c r="H45" s="574">
        <f t="shared" si="9"/>
        <v>-10474</v>
      </c>
      <c r="I45" s="1023">
        <f t="shared" si="9"/>
        <v>-11223</v>
      </c>
      <c r="J45" s="1023">
        <f>J44-J39</f>
        <v>-11822</v>
      </c>
      <c r="K45" s="1023">
        <f>K44-K39</f>
        <v>-11926</v>
      </c>
      <c r="L45" s="574">
        <f t="shared" si="9"/>
        <v>-12419</v>
      </c>
      <c r="M45" s="1637">
        <f t="shared" si="9"/>
        <v>-12125</v>
      </c>
      <c r="N45" s="1630">
        <f t="shared" si="9"/>
        <v>-2738</v>
      </c>
      <c r="O45" s="1630">
        <f t="shared" si="9"/>
        <v>-2796</v>
      </c>
      <c r="P45" s="574">
        <f t="shared" si="9"/>
        <v>-3144</v>
      </c>
      <c r="Q45" s="1627">
        <f t="shared" si="9"/>
        <v>0</v>
      </c>
      <c r="R45" s="664">
        <f t="shared" si="3"/>
        <v>-8678</v>
      </c>
      <c r="S45" s="1638">
        <f t="shared" si="4"/>
        <v>71.57113402061856</v>
      </c>
      <c r="U45" s="574">
        <f>U44-U39</f>
        <v>-5534</v>
      </c>
      <c r="V45" s="574">
        <f>V44-V39</f>
        <v>-8678</v>
      </c>
      <c r="W45" s="574">
        <f>W44-W39</f>
        <v>0</v>
      </c>
    </row>
    <row r="46" ht="12.75">
      <c r="A46" s="1053"/>
    </row>
    <row r="47" ht="12.75">
      <c r="A47" s="1053"/>
    </row>
    <row r="48" spans="1:23" ht="14.25">
      <c r="A48" s="893" t="s">
        <v>697</v>
      </c>
      <c r="R48" s="108"/>
      <c r="S48" s="108"/>
      <c r="T48" s="108"/>
      <c r="U48" s="108"/>
      <c r="V48" s="108"/>
      <c r="W48" s="108"/>
    </row>
    <row r="49" spans="1:23" ht="14.25">
      <c r="A49" s="894" t="s">
        <v>698</v>
      </c>
      <c r="R49" s="108"/>
      <c r="S49" s="108"/>
      <c r="T49" s="108"/>
      <c r="U49" s="108"/>
      <c r="V49" s="108"/>
      <c r="W49" s="108"/>
    </row>
    <row r="50" spans="1:23" ht="14.25">
      <c r="A50" s="1047" t="s">
        <v>699</v>
      </c>
      <c r="R50" s="108"/>
      <c r="S50" s="108"/>
      <c r="T50" s="108"/>
      <c r="U50" s="108"/>
      <c r="V50" s="108"/>
      <c r="W50" s="108"/>
    </row>
    <row r="51" spans="1:23" ht="14.25">
      <c r="A51" s="1048"/>
      <c r="R51" s="108"/>
      <c r="S51" s="108"/>
      <c r="T51" s="108"/>
      <c r="U51" s="108"/>
      <c r="V51" s="108"/>
      <c r="W51" s="108"/>
    </row>
    <row r="52" spans="1:23" ht="12.75">
      <c r="A52" s="1053" t="s">
        <v>700</v>
      </c>
      <c r="R52" s="108"/>
      <c r="S52" s="108"/>
      <c r="T52" s="108"/>
      <c r="U52" s="108"/>
      <c r="V52" s="108"/>
      <c r="W52" s="108"/>
    </row>
    <row r="53" spans="1:23" ht="12.75">
      <c r="A53" s="1053"/>
      <c r="R53" s="108"/>
      <c r="S53" s="108"/>
      <c r="T53" s="108"/>
      <c r="U53" s="108"/>
      <c r="V53" s="108"/>
      <c r="W53" s="108"/>
    </row>
    <row r="54" spans="1:23" ht="12.75">
      <c r="A54" s="1053" t="s">
        <v>743</v>
      </c>
      <c r="R54" s="108"/>
      <c r="S54" s="108"/>
      <c r="T54" s="108"/>
      <c r="U54" s="108"/>
      <c r="V54" s="108"/>
      <c r="W54" s="108"/>
    </row>
    <row r="55" ht="12.75">
      <c r="A55" s="1053"/>
    </row>
    <row r="56" ht="12.75">
      <c r="A56" s="1053"/>
    </row>
    <row r="57" ht="12.75">
      <c r="A57" s="1053"/>
    </row>
    <row r="58" ht="12.75">
      <c r="A58" s="1053"/>
    </row>
    <row r="59" ht="12.75">
      <c r="A59" s="1053"/>
    </row>
    <row r="60" ht="12.75">
      <c r="A60" s="1053"/>
    </row>
    <row r="61" ht="12.75">
      <c r="A61" s="1053"/>
    </row>
    <row r="62" ht="12.75">
      <c r="A62" s="1053"/>
    </row>
    <row r="63" ht="12.75">
      <c r="A63" s="1053"/>
    </row>
    <row r="64" ht="12.75">
      <c r="A64" s="1053"/>
    </row>
  </sheetData>
  <sheetProtection/>
  <mergeCells count="11"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  <mergeCell ref="N7:Q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35"/>
  <sheetViews>
    <sheetView zoomScale="80" zoomScaleNormal="80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13.7109375" style="108" customWidth="1"/>
    <col min="2" max="2" width="10.8515625" style="108" bestFit="1" customWidth="1"/>
    <col min="3" max="3" width="79.7109375" style="108" customWidth="1"/>
    <col min="4" max="4" width="15.7109375" style="108" customWidth="1"/>
    <col min="5" max="6" width="15.8515625" style="108" customWidth="1"/>
    <col min="7" max="7" width="13.28125" style="108" customWidth="1"/>
    <col min="8" max="16384" width="9.140625" style="108" customWidth="1"/>
  </cols>
  <sheetData>
    <row r="1" spans="1:7" ht="21" customHeight="1">
      <c r="A1" s="12" t="s">
        <v>305</v>
      </c>
      <c r="B1" s="13"/>
      <c r="C1" s="105"/>
      <c r="D1" s="106"/>
      <c r="E1" s="107"/>
      <c r="F1" s="107"/>
      <c r="G1" s="107"/>
    </row>
    <row r="2" spans="1:6" ht="15.75" customHeight="1">
      <c r="A2" s="12"/>
      <c r="B2" s="13"/>
      <c r="C2" s="109"/>
      <c r="E2" s="110"/>
      <c r="F2" s="110"/>
    </row>
    <row r="3" spans="1:7" s="115" customFormat="1" ht="24" customHeight="1">
      <c r="A3" s="111" t="s">
        <v>306</v>
      </c>
      <c r="B3" s="111"/>
      <c r="C3" s="111"/>
      <c r="D3" s="112"/>
      <c r="E3" s="113"/>
      <c r="F3" s="113"/>
      <c r="G3" s="114"/>
    </row>
    <row r="4" spans="4:7" s="98" customFormat="1" ht="15.75" customHeight="1" thickBot="1">
      <c r="D4" s="116"/>
      <c r="E4" s="117"/>
      <c r="F4" s="114" t="s">
        <v>4</v>
      </c>
      <c r="G4" s="116"/>
    </row>
    <row r="5" spans="1:7" s="98" customFormat="1" ht="15.75" customHeight="1">
      <c r="A5" s="215" t="s">
        <v>25</v>
      </c>
      <c r="B5" s="216" t="s">
        <v>26</v>
      </c>
      <c r="C5" s="215" t="s">
        <v>28</v>
      </c>
      <c r="D5" s="215" t="s">
        <v>29</v>
      </c>
      <c r="E5" s="215" t="s">
        <v>29</v>
      </c>
      <c r="F5" s="209" t="s">
        <v>8</v>
      </c>
      <c r="G5" s="215" t="s">
        <v>307</v>
      </c>
    </row>
    <row r="6" spans="1:7" s="98" customFormat="1" ht="15.75" customHeight="1" thickBot="1">
      <c r="A6" s="217"/>
      <c r="B6" s="218"/>
      <c r="C6" s="219"/>
      <c r="D6" s="220" t="s">
        <v>31</v>
      </c>
      <c r="E6" s="220" t="s">
        <v>32</v>
      </c>
      <c r="F6" s="213" t="s">
        <v>33</v>
      </c>
      <c r="G6" s="220" t="s">
        <v>308</v>
      </c>
    </row>
    <row r="7" spans="1:7" s="98" customFormat="1" ht="16.5" customHeight="1" thickTop="1">
      <c r="A7" s="118">
        <v>10</v>
      </c>
      <c r="B7" s="119"/>
      <c r="C7" s="120" t="s">
        <v>309</v>
      </c>
      <c r="D7" s="121"/>
      <c r="E7" s="121"/>
      <c r="F7" s="121"/>
      <c r="G7" s="121"/>
    </row>
    <row r="8" spans="1:7" s="98" customFormat="1" ht="15" customHeight="1">
      <c r="A8" s="69"/>
      <c r="B8" s="122"/>
      <c r="C8" s="69"/>
      <c r="D8" s="71"/>
      <c r="E8" s="71"/>
      <c r="F8" s="71"/>
      <c r="G8" s="71"/>
    </row>
    <row r="9" spans="1:7" s="98" customFormat="1" ht="15" customHeight="1">
      <c r="A9" s="69"/>
      <c r="B9" s="123">
        <v>2143</v>
      </c>
      <c r="C9" s="36" t="s">
        <v>310</v>
      </c>
      <c r="D9" s="71">
        <v>4000</v>
      </c>
      <c r="E9" s="71">
        <v>4031</v>
      </c>
      <c r="F9" s="71">
        <v>2163.5</v>
      </c>
      <c r="G9" s="71">
        <f>(F9/E9)*100</f>
        <v>53.671545522202926</v>
      </c>
    </row>
    <row r="10" spans="1:7" s="98" customFormat="1" ht="15">
      <c r="A10" s="36"/>
      <c r="B10" s="123">
        <v>3111</v>
      </c>
      <c r="C10" s="36" t="s">
        <v>311</v>
      </c>
      <c r="D10" s="124">
        <v>8600</v>
      </c>
      <c r="E10" s="124">
        <v>8631.2</v>
      </c>
      <c r="F10" s="124">
        <v>6481.1</v>
      </c>
      <c r="G10" s="71">
        <f aca="true" t="shared" si="0" ref="G10:G32">(F10/E10)*100</f>
        <v>75.08921123366392</v>
      </c>
    </row>
    <row r="11" spans="1:7" s="98" customFormat="1" ht="15">
      <c r="A11" s="36"/>
      <c r="B11" s="123">
        <v>3113</v>
      </c>
      <c r="C11" s="36" t="s">
        <v>312</v>
      </c>
      <c r="D11" s="124">
        <v>30300</v>
      </c>
      <c r="E11" s="124">
        <v>32411.1</v>
      </c>
      <c r="F11" s="124">
        <v>24852.7</v>
      </c>
      <c r="G11" s="71">
        <f t="shared" si="0"/>
        <v>76.67959433650817</v>
      </c>
    </row>
    <row r="12" spans="1:7" s="98" customFormat="1" ht="15" hidden="1">
      <c r="A12" s="36"/>
      <c r="B12" s="123">
        <v>3114</v>
      </c>
      <c r="C12" s="36" t="s">
        <v>313</v>
      </c>
      <c r="D12" s="124"/>
      <c r="E12" s="124"/>
      <c r="F12" s="124"/>
      <c r="G12" s="71" t="e">
        <f t="shared" si="0"/>
        <v>#DIV/0!</v>
      </c>
    </row>
    <row r="13" spans="1:7" s="98" customFormat="1" ht="15">
      <c r="A13" s="36"/>
      <c r="B13" s="123">
        <v>3122</v>
      </c>
      <c r="C13" s="36" t="s">
        <v>314</v>
      </c>
      <c r="D13" s="124">
        <v>350</v>
      </c>
      <c r="E13" s="124">
        <v>350</v>
      </c>
      <c r="F13" s="124">
        <v>350</v>
      </c>
      <c r="G13" s="71">
        <f t="shared" si="0"/>
        <v>100</v>
      </c>
    </row>
    <row r="14" spans="1:7" s="98" customFormat="1" ht="15">
      <c r="A14" s="36"/>
      <c r="B14" s="123">
        <v>3231</v>
      </c>
      <c r="C14" s="36" t="s">
        <v>315</v>
      </c>
      <c r="D14" s="124">
        <v>780</v>
      </c>
      <c r="E14" s="124">
        <v>505</v>
      </c>
      <c r="F14" s="124">
        <v>454</v>
      </c>
      <c r="G14" s="71">
        <f t="shared" si="0"/>
        <v>89.9009900990099</v>
      </c>
    </row>
    <row r="15" spans="1:7" s="98" customFormat="1" ht="15">
      <c r="A15" s="36"/>
      <c r="B15" s="123">
        <v>3313</v>
      </c>
      <c r="C15" s="36" t="s">
        <v>316</v>
      </c>
      <c r="D15" s="71">
        <v>1460</v>
      </c>
      <c r="E15" s="71">
        <v>1464</v>
      </c>
      <c r="F15" s="71">
        <v>1256.5</v>
      </c>
      <c r="G15" s="71">
        <f t="shared" si="0"/>
        <v>85.82650273224044</v>
      </c>
    </row>
    <row r="16" spans="1:7" s="98" customFormat="1" ht="15" customHeight="1" hidden="1">
      <c r="A16" s="36"/>
      <c r="B16" s="123">
        <v>3314</v>
      </c>
      <c r="C16" s="36" t="s">
        <v>317</v>
      </c>
      <c r="D16" s="71"/>
      <c r="E16" s="71"/>
      <c r="F16" s="71"/>
      <c r="G16" s="71" t="e">
        <f t="shared" si="0"/>
        <v>#DIV/0!</v>
      </c>
    </row>
    <row r="17" spans="1:7" s="98" customFormat="1" ht="15">
      <c r="A17" s="36"/>
      <c r="B17" s="123">
        <v>3314</v>
      </c>
      <c r="C17" s="36" t="s">
        <v>318</v>
      </c>
      <c r="D17" s="71">
        <v>7040</v>
      </c>
      <c r="E17" s="71">
        <v>7077</v>
      </c>
      <c r="F17" s="71">
        <v>5317</v>
      </c>
      <c r="G17" s="71">
        <f t="shared" si="0"/>
        <v>75.13070510103151</v>
      </c>
    </row>
    <row r="18" spans="1:7" s="98" customFormat="1" ht="13.5" customHeight="1" hidden="1">
      <c r="A18" s="36"/>
      <c r="B18" s="123">
        <v>3315</v>
      </c>
      <c r="C18" s="36" t="s">
        <v>319</v>
      </c>
      <c r="D18" s="71"/>
      <c r="E18" s="71"/>
      <c r="F18" s="71"/>
      <c r="G18" s="71" t="e">
        <f t="shared" si="0"/>
        <v>#DIV/0!</v>
      </c>
    </row>
    <row r="19" spans="1:7" s="98" customFormat="1" ht="15">
      <c r="A19" s="36"/>
      <c r="B19" s="123">
        <v>3315</v>
      </c>
      <c r="C19" s="36" t="s">
        <v>320</v>
      </c>
      <c r="D19" s="71">
        <v>6850</v>
      </c>
      <c r="E19" s="71">
        <v>7023</v>
      </c>
      <c r="F19" s="71">
        <v>5318</v>
      </c>
      <c r="G19" s="71">
        <f t="shared" si="0"/>
        <v>75.72262565855048</v>
      </c>
    </row>
    <row r="20" spans="1:7" s="98" customFormat="1" ht="15">
      <c r="A20" s="36"/>
      <c r="B20" s="123">
        <v>3319</v>
      </c>
      <c r="C20" s="36" t="s">
        <v>321</v>
      </c>
      <c r="D20" s="71">
        <v>620</v>
      </c>
      <c r="E20" s="71">
        <v>645</v>
      </c>
      <c r="F20" s="71">
        <v>462.8</v>
      </c>
      <c r="G20" s="71">
        <f t="shared" si="0"/>
        <v>71.75193798449612</v>
      </c>
    </row>
    <row r="21" spans="1:7" s="98" customFormat="1" ht="15">
      <c r="A21" s="36"/>
      <c r="B21" s="123">
        <v>3322</v>
      </c>
      <c r="C21" s="36" t="s">
        <v>322</v>
      </c>
      <c r="D21" s="71">
        <v>50</v>
      </c>
      <c r="E21" s="71">
        <v>50</v>
      </c>
      <c r="F21" s="71">
        <v>0</v>
      </c>
      <c r="G21" s="71">
        <f t="shared" si="0"/>
        <v>0</v>
      </c>
    </row>
    <row r="22" spans="1:7" s="98" customFormat="1" ht="15">
      <c r="A22" s="36"/>
      <c r="B22" s="123">
        <v>3326</v>
      </c>
      <c r="C22" s="36" t="s">
        <v>323</v>
      </c>
      <c r="D22" s="71">
        <v>60</v>
      </c>
      <c r="E22" s="71">
        <v>30</v>
      </c>
      <c r="F22" s="71">
        <v>0</v>
      </c>
      <c r="G22" s="71">
        <f t="shared" si="0"/>
        <v>0</v>
      </c>
    </row>
    <row r="23" spans="1:7" s="98" customFormat="1" ht="15">
      <c r="A23" s="36"/>
      <c r="B23" s="123">
        <v>3330</v>
      </c>
      <c r="C23" s="36" t="s">
        <v>324</v>
      </c>
      <c r="D23" s="71">
        <v>50</v>
      </c>
      <c r="E23" s="71">
        <v>85</v>
      </c>
      <c r="F23" s="71">
        <v>45</v>
      </c>
      <c r="G23" s="71">
        <f t="shared" si="0"/>
        <v>52.94117647058824</v>
      </c>
    </row>
    <row r="24" spans="1:7" s="98" customFormat="1" ht="15">
      <c r="A24" s="36"/>
      <c r="B24" s="123">
        <v>3392</v>
      </c>
      <c r="C24" s="36" t="s">
        <v>325</v>
      </c>
      <c r="D24" s="71">
        <v>800</v>
      </c>
      <c r="E24" s="71">
        <v>822.3</v>
      </c>
      <c r="F24" s="71">
        <v>815</v>
      </c>
      <c r="G24" s="71">
        <f t="shared" si="0"/>
        <v>99.11224613887876</v>
      </c>
    </row>
    <row r="25" spans="1:7" s="98" customFormat="1" ht="15">
      <c r="A25" s="36"/>
      <c r="B25" s="123">
        <v>3399</v>
      </c>
      <c r="C25" s="36" t="s">
        <v>326</v>
      </c>
      <c r="D25" s="71">
        <v>2700</v>
      </c>
      <c r="E25" s="71">
        <v>2583.8</v>
      </c>
      <c r="F25" s="71">
        <v>1267.5</v>
      </c>
      <c r="G25" s="71">
        <f t="shared" si="0"/>
        <v>49.05565446241969</v>
      </c>
    </row>
    <row r="26" spans="1:7" s="98" customFormat="1" ht="15">
      <c r="A26" s="36"/>
      <c r="B26" s="123">
        <v>3412</v>
      </c>
      <c r="C26" s="36" t="s">
        <v>327</v>
      </c>
      <c r="D26" s="71">
        <v>13438</v>
      </c>
      <c r="E26" s="71">
        <v>13845.4</v>
      </c>
      <c r="F26" s="71">
        <v>11214.4</v>
      </c>
      <c r="G26" s="71">
        <f t="shared" si="0"/>
        <v>80.99729874182039</v>
      </c>
    </row>
    <row r="27" spans="1:7" s="98" customFormat="1" ht="15">
      <c r="A27" s="36"/>
      <c r="B27" s="123">
        <v>3412</v>
      </c>
      <c r="C27" s="36" t="s">
        <v>328</v>
      </c>
      <c r="D27" s="71">
        <f>20284-13438</f>
        <v>6846</v>
      </c>
      <c r="E27" s="71">
        <f>19478.4-13845.4</f>
        <v>5633.000000000002</v>
      </c>
      <c r="F27" s="71">
        <f>16296.8-11214.4</f>
        <v>5082.4</v>
      </c>
      <c r="G27" s="71">
        <f t="shared" si="0"/>
        <v>90.22545712764065</v>
      </c>
    </row>
    <row r="28" spans="1:7" s="98" customFormat="1" ht="15">
      <c r="A28" s="36"/>
      <c r="B28" s="123">
        <v>3419</v>
      </c>
      <c r="C28" s="36" t="s">
        <v>329</v>
      </c>
      <c r="D28" s="124">
        <v>2050</v>
      </c>
      <c r="E28" s="124">
        <v>3423</v>
      </c>
      <c r="F28" s="124">
        <v>3572.1</v>
      </c>
      <c r="G28" s="71">
        <f t="shared" si="0"/>
        <v>104.3558282208589</v>
      </c>
    </row>
    <row r="29" spans="1:7" s="98" customFormat="1" ht="15">
      <c r="A29" s="36"/>
      <c r="B29" s="123">
        <v>3421</v>
      </c>
      <c r="C29" s="36" t="s">
        <v>330</v>
      </c>
      <c r="D29" s="124">
        <v>3116</v>
      </c>
      <c r="E29" s="124">
        <v>2952.6</v>
      </c>
      <c r="F29" s="124">
        <v>2845.7</v>
      </c>
      <c r="G29" s="71">
        <f t="shared" si="0"/>
        <v>96.37946216893585</v>
      </c>
    </row>
    <row r="30" spans="1:7" s="98" customFormat="1" ht="15">
      <c r="A30" s="36"/>
      <c r="B30" s="123">
        <v>3429</v>
      </c>
      <c r="C30" s="36" t="s">
        <v>331</v>
      </c>
      <c r="D30" s="124">
        <v>1500</v>
      </c>
      <c r="E30" s="124">
        <v>1547</v>
      </c>
      <c r="F30" s="124">
        <v>1328.3</v>
      </c>
      <c r="G30" s="71">
        <f t="shared" si="0"/>
        <v>85.86296056884292</v>
      </c>
    </row>
    <row r="31" spans="1:7" s="98" customFormat="1" ht="15">
      <c r="A31" s="36"/>
      <c r="B31" s="123">
        <v>6223</v>
      </c>
      <c r="C31" s="36" t="s">
        <v>332</v>
      </c>
      <c r="D31" s="71">
        <v>150</v>
      </c>
      <c r="E31" s="71">
        <v>127.7</v>
      </c>
      <c r="F31" s="71">
        <v>26.5</v>
      </c>
      <c r="G31" s="71">
        <f t="shared" si="0"/>
        <v>20.751761942051683</v>
      </c>
    </row>
    <row r="32" spans="1:7" s="98" customFormat="1" ht="15">
      <c r="A32" s="36"/>
      <c r="B32" s="123">
        <v>6409</v>
      </c>
      <c r="C32" s="36" t="s">
        <v>333</v>
      </c>
      <c r="D32" s="71">
        <v>1000</v>
      </c>
      <c r="E32" s="71">
        <v>702</v>
      </c>
      <c r="F32" s="71">
        <v>0</v>
      </c>
      <c r="G32" s="71">
        <f t="shared" si="0"/>
        <v>0</v>
      </c>
    </row>
    <row r="33" spans="1:7" s="98" customFormat="1" ht="14.25" customHeight="1" thickBot="1">
      <c r="A33" s="125"/>
      <c r="B33" s="126"/>
      <c r="C33" s="127"/>
      <c r="D33" s="128"/>
      <c r="E33" s="128"/>
      <c r="F33" s="128"/>
      <c r="G33" s="128"/>
    </row>
    <row r="34" spans="1:7" s="98" customFormat="1" ht="18.75" customHeight="1" thickBot="1" thickTop="1">
      <c r="A34" s="129"/>
      <c r="B34" s="130"/>
      <c r="C34" s="131" t="s">
        <v>334</v>
      </c>
      <c r="D34" s="132">
        <f>SUM(D9:D33)</f>
        <v>91760</v>
      </c>
      <c r="E34" s="132">
        <f>SUM(E9:E33)</f>
        <v>93939.1</v>
      </c>
      <c r="F34" s="132">
        <f>SUM(F9:F33)</f>
        <v>72852.50000000001</v>
      </c>
      <c r="G34" s="132">
        <f>(F34/E34)*100</f>
        <v>77.55290395586077</v>
      </c>
    </row>
    <row r="35" spans="1:7" s="98" customFormat="1" ht="15.75" customHeight="1">
      <c r="A35" s="97"/>
      <c r="B35" s="100"/>
      <c r="C35" s="133"/>
      <c r="D35" s="134"/>
      <c r="E35" s="134"/>
      <c r="F35" s="134"/>
      <c r="G35" s="134"/>
    </row>
    <row r="36" spans="1:7" s="98" customFormat="1" ht="18.75" customHeight="1" hidden="1">
      <c r="A36" s="97"/>
      <c r="B36" s="100"/>
      <c r="C36" s="133"/>
      <c r="D36" s="134"/>
      <c r="E36" s="134"/>
      <c r="F36" s="134"/>
      <c r="G36" s="134"/>
    </row>
    <row r="37" spans="1:7" s="98" customFormat="1" ht="18.75" customHeight="1" hidden="1">
      <c r="A37" s="97"/>
      <c r="B37" s="100"/>
      <c r="C37" s="133"/>
      <c r="D37" s="134"/>
      <c r="E37" s="134"/>
      <c r="F37" s="134"/>
      <c r="G37" s="134"/>
    </row>
    <row r="38" spans="1:7" s="98" customFormat="1" ht="15.75" customHeight="1" hidden="1">
      <c r="A38" s="97"/>
      <c r="B38" s="100"/>
      <c r="C38" s="133"/>
      <c r="D38" s="134"/>
      <c r="E38" s="134"/>
      <c r="F38" s="134"/>
      <c r="G38" s="134"/>
    </row>
    <row r="39" spans="1:7" s="98" customFormat="1" ht="15.75" customHeight="1" hidden="1">
      <c r="A39" s="97"/>
      <c r="B39" s="100"/>
      <c r="C39" s="133"/>
      <c r="D39" s="135"/>
      <c r="E39" s="135"/>
      <c r="F39" s="135"/>
      <c r="G39" s="135"/>
    </row>
    <row r="40" spans="1:7" s="98" customFormat="1" ht="12.75" customHeight="1" hidden="1">
      <c r="A40" s="97"/>
      <c r="B40" s="100"/>
      <c r="C40" s="133"/>
      <c r="D40" s="135"/>
      <c r="E40" s="135"/>
      <c r="F40" s="135"/>
      <c r="G40" s="135"/>
    </row>
    <row r="41" spans="1:7" s="98" customFormat="1" ht="12.75" customHeight="1" hidden="1">
      <c r="A41" s="97"/>
      <c r="B41" s="100"/>
      <c r="C41" s="133"/>
      <c r="D41" s="135"/>
      <c r="E41" s="135"/>
      <c r="F41" s="135"/>
      <c r="G41" s="135"/>
    </row>
    <row r="42" s="98" customFormat="1" ht="15.75" customHeight="1" thickBot="1">
      <c r="B42" s="136"/>
    </row>
    <row r="43" spans="1:7" s="98" customFormat="1" ht="15.75">
      <c r="A43" s="215" t="s">
        <v>25</v>
      </c>
      <c r="B43" s="216" t="s">
        <v>26</v>
      </c>
      <c r="C43" s="215" t="s">
        <v>28</v>
      </c>
      <c r="D43" s="215" t="s">
        <v>29</v>
      </c>
      <c r="E43" s="215" t="s">
        <v>29</v>
      </c>
      <c r="F43" s="209" t="s">
        <v>8</v>
      </c>
      <c r="G43" s="215" t="s">
        <v>307</v>
      </c>
    </row>
    <row r="44" spans="1:7" s="98" customFormat="1" ht="15.75" customHeight="1" thickBot="1">
      <c r="A44" s="217"/>
      <c r="B44" s="218"/>
      <c r="C44" s="219"/>
      <c r="D44" s="220" t="s">
        <v>31</v>
      </c>
      <c r="E44" s="220" t="s">
        <v>32</v>
      </c>
      <c r="F44" s="213" t="s">
        <v>33</v>
      </c>
      <c r="G44" s="220" t="s">
        <v>308</v>
      </c>
    </row>
    <row r="45" spans="1:7" s="98" customFormat="1" ht="16.5" customHeight="1" thickTop="1">
      <c r="A45" s="118">
        <v>20</v>
      </c>
      <c r="B45" s="119"/>
      <c r="C45" s="19" t="s">
        <v>335</v>
      </c>
      <c r="D45" s="57"/>
      <c r="E45" s="57"/>
      <c r="F45" s="57"/>
      <c r="G45" s="57"/>
    </row>
    <row r="46" spans="1:7" s="98" customFormat="1" ht="15" customHeight="1">
      <c r="A46" s="69"/>
      <c r="B46" s="122"/>
      <c r="C46" s="19"/>
      <c r="D46" s="71"/>
      <c r="E46" s="71"/>
      <c r="F46" s="71"/>
      <c r="G46" s="71"/>
    </row>
    <row r="47" spans="1:7" s="98" customFormat="1" ht="15">
      <c r="A47" s="36"/>
      <c r="B47" s="123">
        <v>2212</v>
      </c>
      <c r="C47" s="72" t="s">
        <v>336</v>
      </c>
      <c r="D47" s="22">
        <f>23284-12267</f>
        <v>11017</v>
      </c>
      <c r="E47" s="22">
        <f>27403.8-3000-11684.6</f>
        <v>12719.199999999999</v>
      </c>
      <c r="F47" s="22">
        <f>7230-200-20</f>
        <v>7010</v>
      </c>
      <c r="G47" s="71">
        <f aca="true" t="shared" si="1" ref="G47:G110">(F47/E47)*100</f>
        <v>55.113529152776906</v>
      </c>
    </row>
    <row r="48" spans="1:7" s="98" customFormat="1" ht="15" customHeight="1">
      <c r="A48" s="36"/>
      <c r="B48" s="123">
        <v>2219</v>
      </c>
      <c r="C48" s="72" t="s">
        <v>337</v>
      </c>
      <c r="D48" s="22">
        <f>18169-2500-7839</f>
        <v>7830</v>
      </c>
      <c r="E48" s="22">
        <f>37793.8-2500-23334.1</f>
        <v>11959.700000000004</v>
      </c>
      <c r="F48" s="22">
        <f>8831.4-1229.6-14</f>
        <v>7587.799999999999</v>
      </c>
      <c r="G48" s="71">
        <f t="shared" si="1"/>
        <v>63.44473523583365</v>
      </c>
    </row>
    <row r="49" spans="1:7" s="98" customFormat="1" ht="15">
      <c r="A49" s="36"/>
      <c r="B49" s="123">
        <v>2221</v>
      </c>
      <c r="C49" s="72" t="s">
        <v>338</v>
      </c>
      <c r="D49" s="22">
        <f>65450-65350</f>
        <v>100</v>
      </c>
      <c r="E49" s="22">
        <f>43731.8-43402.4-23.7-202</f>
        <v>103.70000000000147</v>
      </c>
      <c r="F49" s="22">
        <f>9743.2-9550.9-23.7-165</f>
        <v>3.6000000000011028</v>
      </c>
      <c r="G49" s="71">
        <f t="shared" si="1"/>
        <v>3.4715525554494233</v>
      </c>
    </row>
    <row r="50" spans="1:7" s="98" customFormat="1" ht="15">
      <c r="A50" s="36"/>
      <c r="B50" s="123">
        <v>2229</v>
      </c>
      <c r="C50" s="72" t="s">
        <v>339</v>
      </c>
      <c r="D50" s="22">
        <v>10</v>
      </c>
      <c r="E50" s="22">
        <v>10</v>
      </c>
      <c r="F50" s="22">
        <v>8.2</v>
      </c>
      <c r="G50" s="71">
        <f t="shared" si="1"/>
        <v>82</v>
      </c>
    </row>
    <row r="51" spans="1:7" s="98" customFormat="1" ht="15" hidden="1">
      <c r="A51" s="36"/>
      <c r="B51" s="123">
        <v>2241</v>
      </c>
      <c r="C51" s="72" t="s">
        <v>340</v>
      </c>
      <c r="D51" s="22"/>
      <c r="E51" s="22"/>
      <c r="F51" s="22"/>
      <c r="G51" s="71" t="e">
        <f t="shared" si="1"/>
        <v>#DIV/0!</v>
      </c>
    </row>
    <row r="52" spans="1:7" s="98" customFormat="1" ht="15" hidden="1">
      <c r="A52" s="36"/>
      <c r="B52" s="123">
        <v>2310</v>
      </c>
      <c r="C52" s="72" t="s">
        <v>341</v>
      </c>
      <c r="D52" s="22"/>
      <c r="E52" s="22"/>
      <c r="F52" s="22"/>
      <c r="G52" s="71" t="e">
        <f t="shared" si="1"/>
        <v>#DIV/0!</v>
      </c>
    </row>
    <row r="53" spans="1:7" s="98" customFormat="1" ht="15">
      <c r="A53" s="36"/>
      <c r="B53" s="123">
        <v>2321</v>
      </c>
      <c r="C53" s="72" t="s">
        <v>342</v>
      </c>
      <c r="D53" s="22">
        <v>50</v>
      </c>
      <c r="E53" s="22">
        <v>50</v>
      </c>
      <c r="F53" s="22">
        <v>46.1</v>
      </c>
      <c r="G53" s="71">
        <f t="shared" si="1"/>
        <v>92.2</v>
      </c>
    </row>
    <row r="54" spans="1:7" s="103" customFormat="1" ht="15.75">
      <c r="A54" s="36"/>
      <c r="B54" s="123">
        <v>2331</v>
      </c>
      <c r="C54" s="72" t="s">
        <v>343</v>
      </c>
      <c r="D54" s="71">
        <f>727-727</f>
        <v>0</v>
      </c>
      <c r="E54" s="71">
        <f>657.9-625.8</f>
        <v>32.10000000000002</v>
      </c>
      <c r="F54" s="71">
        <f>58.7-36.3</f>
        <v>22.400000000000006</v>
      </c>
      <c r="G54" s="71">
        <f t="shared" si="1"/>
        <v>69.78193146417442</v>
      </c>
    </row>
    <row r="55" spans="1:7" s="98" customFormat="1" ht="15">
      <c r="A55" s="36"/>
      <c r="B55" s="123">
        <v>3111</v>
      </c>
      <c r="C55" s="137" t="s">
        <v>344</v>
      </c>
      <c r="D55" s="22">
        <f>10321-10321</f>
        <v>0</v>
      </c>
      <c r="E55" s="22">
        <f>16553-15317</f>
        <v>1236</v>
      </c>
      <c r="F55" s="20">
        <f>2477.4-1655.6</f>
        <v>821.8000000000002</v>
      </c>
      <c r="G55" s="71">
        <f t="shared" si="1"/>
        <v>66.48867313915859</v>
      </c>
    </row>
    <row r="56" spans="1:7" s="98" customFormat="1" ht="15">
      <c r="A56" s="36"/>
      <c r="B56" s="123">
        <v>3113</v>
      </c>
      <c r="C56" s="137" t="s">
        <v>345</v>
      </c>
      <c r="D56" s="22">
        <f>11824-11824</f>
        <v>0</v>
      </c>
      <c r="E56" s="22">
        <f>15555.7-14760</f>
        <v>795.7000000000007</v>
      </c>
      <c r="F56" s="20">
        <f>857.3-182.9</f>
        <v>674.4</v>
      </c>
      <c r="G56" s="71">
        <f t="shared" si="1"/>
        <v>84.75556114113351</v>
      </c>
    </row>
    <row r="57" spans="1:7" s="103" customFormat="1" ht="15.75">
      <c r="A57" s="36"/>
      <c r="B57" s="123">
        <v>3231</v>
      </c>
      <c r="C57" s="72" t="s">
        <v>346</v>
      </c>
      <c r="D57" s="71">
        <v>0</v>
      </c>
      <c r="E57" s="71">
        <v>421.3</v>
      </c>
      <c r="F57" s="71">
        <v>421.1</v>
      </c>
      <c r="G57" s="71">
        <f t="shared" si="1"/>
        <v>99.95252788986471</v>
      </c>
    </row>
    <row r="58" spans="1:7" s="103" customFormat="1" ht="15.75">
      <c r="A58" s="36"/>
      <c r="B58" s="123">
        <v>3313</v>
      </c>
      <c r="C58" s="72" t="s">
        <v>347</v>
      </c>
      <c r="D58" s="71">
        <f>400-400</f>
        <v>0</v>
      </c>
      <c r="E58" s="71">
        <f>465.7-400</f>
        <v>65.69999999999999</v>
      </c>
      <c r="F58" s="71">
        <f>22-0</f>
        <v>22</v>
      </c>
      <c r="G58" s="71">
        <f t="shared" si="1"/>
        <v>33.48554033485541</v>
      </c>
    </row>
    <row r="59" spans="1:7" s="98" customFormat="1" ht="15">
      <c r="A59" s="36"/>
      <c r="B59" s="123">
        <v>3322</v>
      </c>
      <c r="C59" s="137" t="s">
        <v>348</v>
      </c>
      <c r="D59" s="22">
        <v>0</v>
      </c>
      <c r="E59" s="22">
        <v>36.4</v>
      </c>
      <c r="F59" s="22">
        <v>8.2</v>
      </c>
      <c r="G59" s="71">
        <f t="shared" si="1"/>
        <v>22.527472527472526</v>
      </c>
    </row>
    <row r="60" spans="1:7" s="98" customFormat="1" ht="15">
      <c r="A60" s="36"/>
      <c r="B60" s="123">
        <v>3326</v>
      </c>
      <c r="C60" s="137" t="s">
        <v>349</v>
      </c>
      <c r="D60" s="22">
        <v>0</v>
      </c>
      <c r="E60" s="22">
        <v>6.6</v>
      </c>
      <c r="F60" s="22">
        <v>6.5</v>
      </c>
      <c r="G60" s="71">
        <f t="shared" si="1"/>
        <v>98.48484848484848</v>
      </c>
    </row>
    <row r="61" spans="1:7" s="103" customFormat="1" ht="15.75">
      <c r="A61" s="36"/>
      <c r="B61" s="123">
        <v>3392</v>
      </c>
      <c r="C61" s="72" t="s">
        <v>350</v>
      </c>
      <c r="D61" s="71">
        <v>0</v>
      </c>
      <c r="E61" s="71">
        <v>170.8</v>
      </c>
      <c r="F61" s="71">
        <v>150.2</v>
      </c>
      <c r="G61" s="71">
        <f t="shared" si="1"/>
        <v>87.9391100702576</v>
      </c>
    </row>
    <row r="62" spans="1:7" s="98" customFormat="1" ht="15">
      <c r="A62" s="36"/>
      <c r="B62" s="123">
        <v>3412</v>
      </c>
      <c r="C62" s="137" t="s">
        <v>351</v>
      </c>
      <c r="D62" s="22">
        <v>0</v>
      </c>
      <c r="E62" s="22">
        <v>639.8</v>
      </c>
      <c r="F62" s="22">
        <v>127.8</v>
      </c>
      <c r="G62" s="71">
        <f t="shared" si="1"/>
        <v>19.974992185057832</v>
      </c>
    </row>
    <row r="63" spans="1:7" s="98" customFormat="1" ht="15">
      <c r="A63" s="36"/>
      <c r="B63" s="123">
        <v>3421</v>
      </c>
      <c r="C63" s="137" t="s">
        <v>352</v>
      </c>
      <c r="D63" s="22">
        <f>24-0</f>
        <v>24</v>
      </c>
      <c r="E63" s="22">
        <f>440.1-319.9</f>
        <v>120.20000000000005</v>
      </c>
      <c r="F63" s="22">
        <f>116.2-0</f>
        <v>116.2</v>
      </c>
      <c r="G63" s="71">
        <f t="shared" si="1"/>
        <v>96.67221297836936</v>
      </c>
    </row>
    <row r="64" spans="1:7" s="98" customFormat="1" ht="15" hidden="1">
      <c r="A64" s="36"/>
      <c r="B64" s="123">
        <v>3612</v>
      </c>
      <c r="C64" s="137" t="s">
        <v>353</v>
      </c>
      <c r="D64" s="22"/>
      <c r="E64" s="22"/>
      <c r="F64" s="22"/>
      <c r="G64" s="71" t="e">
        <f t="shared" si="1"/>
        <v>#DIV/0!</v>
      </c>
    </row>
    <row r="65" spans="1:7" s="98" customFormat="1" ht="15">
      <c r="A65" s="36"/>
      <c r="B65" s="123">
        <v>3613</v>
      </c>
      <c r="C65" s="137" t="s">
        <v>354</v>
      </c>
      <c r="D65" s="22">
        <v>0</v>
      </c>
      <c r="E65" s="22">
        <v>170.8</v>
      </c>
      <c r="F65" s="22">
        <v>170.7</v>
      </c>
      <c r="G65" s="71">
        <f t="shared" si="1"/>
        <v>99.9414519906323</v>
      </c>
    </row>
    <row r="66" spans="1:7" s="98" customFormat="1" ht="15">
      <c r="A66" s="36"/>
      <c r="B66" s="123">
        <v>3631</v>
      </c>
      <c r="C66" s="137" t="s">
        <v>355</v>
      </c>
      <c r="D66" s="22">
        <v>7700</v>
      </c>
      <c r="E66" s="22">
        <v>10086.6</v>
      </c>
      <c r="F66" s="22">
        <v>7269</v>
      </c>
      <c r="G66" s="71">
        <f t="shared" si="1"/>
        <v>72.06590922610195</v>
      </c>
    </row>
    <row r="67" spans="1:7" s="103" customFormat="1" ht="15.75">
      <c r="A67" s="36"/>
      <c r="B67" s="123">
        <v>3632</v>
      </c>
      <c r="C67" s="72" t="s">
        <v>356</v>
      </c>
      <c r="D67" s="71">
        <f>600-600</f>
        <v>0</v>
      </c>
      <c r="E67" s="71">
        <f>642-600</f>
        <v>42</v>
      </c>
      <c r="F67" s="71">
        <v>0</v>
      </c>
      <c r="G67" s="71">
        <f t="shared" si="1"/>
        <v>0</v>
      </c>
    </row>
    <row r="68" spans="1:7" s="98" customFormat="1" ht="15">
      <c r="A68" s="36"/>
      <c r="B68" s="123">
        <v>3635</v>
      </c>
      <c r="C68" s="137" t="s">
        <v>357</v>
      </c>
      <c r="D68" s="22">
        <f>3375-1405</f>
        <v>1970</v>
      </c>
      <c r="E68" s="22">
        <f>3076.2-1405</f>
        <v>1671.1999999999998</v>
      </c>
      <c r="F68" s="22">
        <f>64.9-0</f>
        <v>64.9</v>
      </c>
      <c r="G68" s="71">
        <f t="shared" si="1"/>
        <v>3.8834370512206804</v>
      </c>
    </row>
    <row r="69" spans="1:7" s="103" customFormat="1" ht="15.75">
      <c r="A69" s="36"/>
      <c r="B69" s="123">
        <v>3639</v>
      </c>
      <c r="C69" s="72" t="s">
        <v>358</v>
      </c>
      <c r="D69" s="71">
        <v>216</v>
      </c>
      <c r="E69" s="71">
        <v>252.8</v>
      </c>
      <c r="F69" s="71">
        <v>252.8</v>
      </c>
      <c r="G69" s="71">
        <f t="shared" si="1"/>
        <v>100</v>
      </c>
    </row>
    <row r="70" spans="1:7" s="98" customFormat="1" ht="15">
      <c r="A70" s="36"/>
      <c r="B70" s="123">
        <v>3699</v>
      </c>
      <c r="C70" s="137" t="s">
        <v>359</v>
      </c>
      <c r="D70" s="20">
        <v>50</v>
      </c>
      <c r="E70" s="20">
        <v>137.1</v>
      </c>
      <c r="F70" s="20">
        <v>106.6</v>
      </c>
      <c r="G70" s="71">
        <f t="shared" si="1"/>
        <v>77.75346462436178</v>
      </c>
    </row>
    <row r="71" spans="1:7" s="98" customFormat="1" ht="15">
      <c r="A71" s="36"/>
      <c r="B71" s="123">
        <v>3722</v>
      </c>
      <c r="C71" s="137" t="s">
        <v>360</v>
      </c>
      <c r="D71" s="22">
        <v>21050</v>
      </c>
      <c r="E71" s="22">
        <v>21050</v>
      </c>
      <c r="F71" s="22">
        <v>15151</v>
      </c>
      <c r="G71" s="71">
        <f t="shared" si="1"/>
        <v>71.97624703087885</v>
      </c>
    </row>
    <row r="72" spans="1:7" s="103" customFormat="1" ht="15.75">
      <c r="A72" s="36"/>
      <c r="B72" s="123">
        <v>3726</v>
      </c>
      <c r="C72" s="72" t="s">
        <v>361</v>
      </c>
      <c r="D72" s="71">
        <v>0</v>
      </c>
      <c r="E72" s="71">
        <f>2008.5-1935.5-54</f>
        <v>19</v>
      </c>
      <c r="F72" s="71">
        <f>39.9-39.7-0.2</f>
        <v>-4.274358644806853E-15</v>
      </c>
      <c r="G72" s="71">
        <f t="shared" si="1"/>
        <v>-2.2496624446351855E-14</v>
      </c>
    </row>
    <row r="73" spans="1:7" s="103" customFormat="1" ht="15.75">
      <c r="A73" s="36"/>
      <c r="B73" s="123">
        <v>3733</v>
      </c>
      <c r="C73" s="72" t="s">
        <v>362</v>
      </c>
      <c r="D73" s="71">
        <v>0</v>
      </c>
      <c r="E73" s="71">
        <v>30.8</v>
      </c>
      <c r="F73" s="71">
        <v>30.8</v>
      </c>
      <c r="G73" s="71">
        <f t="shared" si="1"/>
        <v>100</v>
      </c>
    </row>
    <row r="74" spans="1:7" s="103" customFormat="1" ht="15.75">
      <c r="A74" s="36"/>
      <c r="B74" s="123">
        <v>3745</v>
      </c>
      <c r="C74" s="72" t="s">
        <v>363</v>
      </c>
      <c r="D74" s="71">
        <v>19109</v>
      </c>
      <c r="E74" s="71">
        <f>24225.5-1114.4-285-237.9-58.7</f>
        <v>22529.499999999996</v>
      </c>
      <c r="F74" s="71">
        <f>14499.6-5.4-0-0-58.7</f>
        <v>14435.5</v>
      </c>
      <c r="G74" s="71">
        <f t="shared" si="1"/>
        <v>64.07376994607071</v>
      </c>
    </row>
    <row r="75" spans="1:7" s="103" customFormat="1" ht="15.75">
      <c r="A75" s="36"/>
      <c r="B75" s="123">
        <v>4349</v>
      </c>
      <c r="C75" s="72" t="s">
        <v>364</v>
      </c>
      <c r="D75" s="20">
        <v>0</v>
      </c>
      <c r="E75" s="20">
        <f>1731.7-400-116.9-497</f>
        <v>717.8</v>
      </c>
      <c r="F75" s="20">
        <f>943.2-367.4-116.9-47</f>
        <v>411.9000000000001</v>
      </c>
      <c r="G75" s="71">
        <f t="shared" si="1"/>
        <v>57.383672332125954</v>
      </c>
    </row>
    <row r="76" spans="1:7" s="103" customFormat="1" ht="15.75">
      <c r="A76" s="40"/>
      <c r="B76" s="123">
        <v>4357</v>
      </c>
      <c r="C76" s="137" t="s">
        <v>365</v>
      </c>
      <c r="D76" s="20">
        <f>500-500</f>
        <v>0</v>
      </c>
      <c r="E76" s="20">
        <f>1325.2-500-792</f>
        <v>33.200000000000045</v>
      </c>
      <c r="F76" s="20">
        <f>1284.4-791.9-492.5</f>
        <v>0</v>
      </c>
      <c r="G76" s="71">
        <f t="shared" si="1"/>
        <v>0</v>
      </c>
    </row>
    <row r="77" spans="1:7" s="98" customFormat="1" ht="15" hidden="1">
      <c r="A77" s="40"/>
      <c r="B77" s="123">
        <v>5212</v>
      </c>
      <c r="C77" s="137" t="s">
        <v>366</v>
      </c>
      <c r="D77" s="20"/>
      <c r="E77" s="20"/>
      <c r="F77" s="22"/>
      <c r="G77" s="71" t="e">
        <f t="shared" si="1"/>
        <v>#DIV/0!</v>
      </c>
    </row>
    <row r="78" spans="1:7" s="98" customFormat="1" ht="15" hidden="1">
      <c r="A78" s="40"/>
      <c r="B78" s="123">
        <v>6223</v>
      </c>
      <c r="C78" s="137" t="s">
        <v>367</v>
      </c>
      <c r="D78" s="20"/>
      <c r="E78" s="20"/>
      <c r="F78" s="20"/>
      <c r="G78" s="71" t="e">
        <f t="shared" si="1"/>
        <v>#DIV/0!</v>
      </c>
    </row>
    <row r="79" spans="1:7" s="98" customFormat="1" ht="15">
      <c r="A79" s="40"/>
      <c r="B79" s="123">
        <v>6171</v>
      </c>
      <c r="C79" s="137" t="s">
        <v>368</v>
      </c>
      <c r="D79" s="20">
        <f>2700-2700</f>
        <v>0</v>
      </c>
      <c r="E79" s="20">
        <f>2436-2236.9</f>
        <v>199.0999999999999</v>
      </c>
      <c r="F79" s="20">
        <f>2308.9-2236.8</f>
        <v>72.09999999999991</v>
      </c>
      <c r="G79" s="71">
        <f t="shared" si="1"/>
        <v>36.212958312405796</v>
      </c>
    </row>
    <row r="80" spans="1:7" s="98" customFormat="1" ht="15">
      <c r="A80" s="40">
        <v>6409</v>
      </c>
      <c r="B80" s="123">
        <v>6409</v>
      </c>
      <c r="C80" s="137" t="s">
        <v>369</v>
      </c>
      <c r="D80" s="20">
        <v>2400</v>
      </c>
      <c r="E80" s="20">
        <v>250.5</v>
      </c>
      <c r="F80" s="20">
        <v>0</v>
      </c>
      <c r="G80" s="71">
        <f t="shared" si="1"/>
        <v>0</v>
      </c>
    </row>
    <row r="81" spans="1:7" s="103" customFormat="1" ht="15.75">
      <c r="A81" s="36"/>
      <c r="B81" s="123">
        <v>3315</v>
      </c>
      <c r="C81" s="72" t="s">
        <v>370</v>
      </c>
      <c r="D81" s="71">
        <v>0</v>
      </c>
      <c r="E81" s="71">
        <v>0</v>
      </c>
      <c r="F81" s="71">
        <v>0</v>
      </c>
      <c r="G81" s="71" t="e">
        <f t="shared" si="1"/>
        <v>#DIV/0!</v>
      </c>
    </row>
    <row r="82" spans="1:7" s="103" customFormat="1" ht="15.75">
      <c r="A82" s="120"/>
      <c r="B82" s="122"/>
      <c r="C82" s="138" t="s">
        <v>371</v>
      </c>
      <c r="D82" s="139">
        <f>SUM(D47:D81)</f>
        <v>71526</v>
      </c>
      <c r="E82" s="139">
        <f>SUM(E47:E81)</f>
        <v>85557.6</v>
      </c>
      <c r="F82" s="139">
        <f>SUM(F47:F81)</f>
        <v>54991.600000000006</v>
      </c>
      <c r="G82" s="71">
        <f t="shared" si="1"/>
        <v>64.27436019710699</v>
      </c>
    </row>
    <row r="83" spans="1:7" s="103" customFormat="1" ht="14.25" customHeight="1">
      <c r="A83" s="36"/>
      <c r="B83" s="123"/>
      <c r="C83" s="72"/>
      <c r="D83" s="140"/>
      <c r="E83" s="140"/>
      <c r="F83" s="140"/>
      <c r="G83" s="71"/>
    </row>
    <row r="84" spans="1:7" s="103" customFormat="1" ht="15.75">
      <c r="A84" s="36">
        <v>1028000000</v>
      </c>
      <c r="B84" s="123">
        <v>2212</v>
      </c>
      <c r="C84" s="141" t="s">
        <v>372</v>
      </c>
      <c r="D84" s="71">
        <v>6500</v>
      </c>
      <c r="E84" s="71">
        <v>5887.2</v>
      </c>
      <c r="F84" s="71">
        <v>85.4</v>
      </c>
      <c r="G84" s="71">
        <f t="shared" si="1"/>
        <v>1.4506047017257782</v>
      </c>
    </row>
    <row r="85" spans="1:7" s="103" customFormat="1" ht="15.75">
      <c r="A85" s="36">
        <v>1042000000</v>
      </c>
      <c r="B85" s="123">
        <v>2212</v>
      </c>
      <c r="C85" s="72" t="s">
        <v>373</v>
      </c>
      <c r="D85" s="71">
        <v>5767</v>
      </c>
      <c r="E85" s="71">
        <v>3203.4</v>
      </c>
      <c r="F85" s="71">
        <v>69.6</v>
      </c>
      <c r="G85" s="71">
        <f t="shared" si="1"/>
        <v>2.1726915152650306</v>
      </c>
    </row>
    <row r="86" spans="1:7" s="103" customFormat="1" ht="15.75" hidden="1">
      <c r="A86" s="36"/>
      <c r="B86" s="123"/>
      <c r="C86" s="141"/>
      <c r="D86" s="71"/>
      <c r="E86" s="71"/>
      <c r="F86" s="71"/>
      <c r="G86" s="71" t="e">
        <f t="shared" si="1"/>
        <v>#DIV/0!</v>
      </c>
    </row>
    <row r="87" spans="1:7" s="103" customFormat="1" ht="15.75" hidden="1">
      <c r="A87" s="36"/>
      <c r="B87" s="123"/>
      <c r="C87" s="72"/>
      <c r="D87" s="71"/>
      <c r="E87" s="71"/>
      <c r="F87" s="71"/>
      <c r="G87" s="71" t="e">
        <f t="shared" si="1"/>
        <v>#DIV/0!</v>
      </c>
    </row>
    <row r="88" spans="1:7" s="103" customFormat="1" ht="15.75" hidden="1">
      <c r="A88" s="36"/>
      <c r="B88" s="123"/>
      <c r="C88" s="72"/>
      <c r="D88" s="71"/>
      <c r="E88" s="71"/>
      <c r="F88" s="71"/>
      <c r="G88" s="71" t="e">
        <f t="shared" si="1"/>
        <v>#DIV/0!</v>
      </c>
    </row>
    <row r="89" spans="1:7" s="103" customFormat="1" ht="15.75" hidden="1">
      <c r="A89" s="36"/>
      <c r="B89" s="123"/>
      <c r="C89" s="72"/>
      <c r="D89" s="71"/>
      <c r="E89" s="71"/>
      <c r="F89" s="71"/>
      <c r="G89" s="71" t="e">
        <f t="shared" si="1"/>
        <v>#DIV/0!</v>
      </c>
    </row>
    <row r="90" spans="1:7" s="103" customFormat="1" ht="15.75" hidden="1">
      <c r="A90" s="36"/>
      <c r="B90" s="123"/>
      <c r="C90" s="72"/>
      <c r="D90" s="71"/>
      <c r="E90" s="71"/>
      <c r="F90" s="71"/>
      <c r="G90" s="71" t="e">
        <f t="shared" si="1"/>
        <v>#DIV/0!</v>
      </c>
    </row>
    <row r="91" spans="1:7" s="103" customFormat="1" ht="15.75" customHeight="1" hidden="1">
      <c r="A91" s="36"/>
      <c r="B91" s="123"/>
      <c r="C91" s="142"/>
      <c r="D91" s="71"/>
      <c r="E91" s="71"/>
      <c r="F91" s="71"/>
      <c r="G91" s="71" t="e">
        <f t="shared" si="1"/>
        <v>#DIV/0!</v>
      </c>
    </row>
    <row r="92" spans="1:7" s="103" customFormat="1" ht="15.75">
      <c r="A92" s="36">
        <v>1064000000</v>
      </c>
      <c r="B92" s="123">
        <v>2212</v>
      </c>
      <c r="C92" s="72" t="s">
        <v>374</v>
      </c>
      <c r="D92" s="71">
        <v>0</v>
      </c>
      <c r="E92" s="71">
        <v>2544</v>
      </c>
      <c r="F92" s="71">
        <v>44.9</v>
      </c>
      <c r="G92" s="71">
        <f t="shared" si="1"/>
        <v>1.764937106918239</v>
      </c>
    </row>
    <row r="93" spans="1:7" s="103" customFormat="1" ht="15.75">
      <c r="A93" s="36">
        <v>1068000000</v>
      </c>
      <c r="B93" s="123">
        <v>2212</v>
      </c>
      <c r="C93" s="72" t="s">
        <v>375</v>
      </c>
      <c r="D93" s="71">
        <v>0</v>
      </c>
      <c r="E93" s="71">
        <v>50</v>
      </c>
      <c r="F93" s="71">
        <v>0</v>
      </c>
      <c r="G93" s="71">
        <f t="shared" si="1"/>
        <v>0</v>
      </c>
    </row>
    <row r="94" spans="1:7" s="103" customFormat="1" ht="15.75">
      <c r="A94" s="36">
        <v>1059000000</v>
      </c>
      <c r="B94" s="123">
        <v>2212</v>
      </c>
      <c r="C94" s="72" t="s">
        <v>376</v>
      </c>
      <c r="D94" s="71">
        <v>0</v>
      </c>
      <c r="E94" s="71">
        <v>3000</v>
      </c>
      <c r="F94" s="71">
        <v>20</v>
      </c>
      <c r="G94" s="71">
        <f t="shared" si="1"/>
        <v>0.6666666666666667</v>
      </c>
    </row>
    <row r="95" spans="1:7" s="103" customFormat="1" ht="15.75">
      <c r="A95" s="36">
        <v>1006010023</v>
      </c>
      <c r="B95" s="123">
        <v>2219</v>
      </c>
      <c r="C95" s="72" t="s">
        <v>377</v>
      </c>
      <c r="D95" s="71">
        <v>0</v>
      </c>
      <c r="E95" s="71">
        <v>7349</v>
      </c>
      <c r="F95" s="71">
        <v>80.6</v>
      </c>
      <c r="G95" s="71">
        <f t="shared" si="1"/>
        <v>1.0967478568512723</v>
      </c>
    </row>
    <row r="96" spans="1:7" s="103" customFormat="1" ht="15.75">
      <c r="A96" s="36">
        <v>1026000000</v>
      </c>
      <c r="B96" s="123">
        <v>2219</v>
      </c>
      <c r="C96" s="72" t="s">
        <v>378</v>
      </c>
      <c r="D96" s="71">
        <v>0</v>
      </c>
      <c r="E96" s="71">
        <v>523</v>
      </c>
      <c r="F96" s="71">
        <v>518.5</v>
      </c>
      <c r="G96" s="71">
        <f t="shared" si="1"/>
        <v>99.1395793499044</v>
      </c>
    </row>
    <row r="97" spans="1:7" s="103" customFormat="1" ht="15.75" customHeight="1">
      <c r="A97" s="36">
        <v>1033000000</v>
      </c>
      <c r="B97" s="123">
        <v>2219</v>
      </c>
      <c r="C97" s="142" t="s">
        <v>379</v>
      </c>
      <c r="D97" s="71">
        <v>0</v>
      </c>
      <c r="E97" s="71">
        <v>154.1</v>
      </c>
      <c r="F97" s="71">
        <v>154.1</v>
      </c>
      <c r="G97" s="71">
        <f t="shared" si="1"/>
        <v>100</v>
      </c>
    </row>
    <row r="98" spans="1:7" s="103" customFormat="1" ht="15.75" customHeight="1">
      <c r="A98" s="36">
        <v>1037000000</v>
      </c>
      <c r="B98" s="123">
        <v>2219</v>
      </c>
      <c r="C98" s="142" t="s">
        <v>380</v>
      </c>
      <c r="D98" s="71">
        <v>992</v>
      </c>
      <c r="E98" s="71">
        <v>1808</v>
      </c>
      <c r="F98" s="71">
        <v>321.6</v>
      </c>
      <c r="G98" s="71">
        <f t="shared" si="1"/>
        <v>17.787610619469028</v>
      </c>
    </row>
    <row r="99" spans="1:7" s="103" customFormat="1" ht="15.75" customHeight="1">
      <c r="A99" s="36">
        <v>1043000000</v>
      </c>
      <c r="B99" s="123">
        <v>2219</v>
      </c>
      <c r="C99" s="142" t="s">
        <v>381</v>
      </c>
      <c r="D99" s="71">
        <v>1036</v>
      </c>
      <c r="E99" s="71">
        <v>1036</v>
      </c>
      <c r="F99" s="71">
        <v>0</v>
      </c>
      <c r="G99" s="71">
        <f t="shared" si="1"/>
        <v>0</v>
      </c>
    </row>
    <row r="100" spans="1:7" s="103" customFormat="1" ht="15.75">
      <c r="A100" s="36">
        <v>1044000000</v>
      </c>
      <c r="B100" s="123">
        <v>2219</v>
      </c>
      <c r="C100" s="72" t="s">
        <v>382</v>
      </c>
      <c r="D100" s="71">
        <v>3000</v>
      </c>
      <c r="E100" s="71">
        <v>3000</v>
      </c>
      <c r="F100" s="71">
        <v>0</v>
      </c>
      <c r="G100" s="71">
        <f t="shared" si="1"/>
        <v>0</v>
      </c>
    </row>
    <row r="101" spans="1:7" s="103" customFormat="1" ht="15.75">
      <c r="A101" s="36">
        <v>1051000000</v>
      </c>
      <c r="B101" s="123">
        <v>2219</v>
      </c>
      <c r="C101" s="72" t="s">
        <v>383</v>
      </c>
      <c r="D101" s="71">
        <v>2000</v>
      </c>
      <c r="E101" s="71">
        <v>2000</v>
      </c>
      <c r="F101" s="71">
        <v>48</v>
      </c>
      <c r="G101" s="71">
        <f t="shared" si="1"/>
        <v>2.4</v>
      </c>
    </row>
    <row r="102" spans="1:7" s="103" customFormat="1" ht="15.75" customHeight="1">
      <c r="A102" s="36">
        <v>1052000000</v>
      </c>
      <c r="B102" s="123">
        <v>2219</v>
      </c>
      <c r="C102" s="142" t="s">
        <v>384</v>
      </c>
      <c r="D102" s="71">
        <v>811</v>
      </c>
      <c r="E102" s="71">
        <v>811</v>
      </c>
      <c r="F102" s="71">
        <v>0</v>
      </c>
      <c r="G102" s="71">
        <f t="shared" si="1"/>
        <v>0</v>
      </c>
    </row>
    <row r="103" spans="1:7" s="103" customFormat="1" ht="15.75">
      <c r="A103" s="36">
        <v>1054000000</v>
      </c>
      <c r="B103" s="123">
        <v>2219</v>
      </c>
      <c r="C103" s="72" t="s">
        <v>385</v>
      </c>
      <c r="D103" s="71">
        <v>0</v>
      </c>
      <c r="E103" s="71">
        <v>2000</v>
      </c>
      <c r="F103" s="71">
        <v>64.9</v>
      </c>
      <c r="G103" s="71">
        <f t="shared" si="1"/>
        <v>3.245</v>
      </c>
    </row>
    <row r="104" spans="1:7" s="103" customFormat="1" ht="15.75">
      <c r="A104" s="36">
        <v>1058000000</v>
      </c>
      <c r="B104" s="123">
        <v>2219</v>
      </c>
      <c r="C104" s="72" t="s">
        <v>386</v>
      </c>
      <c r="D104" s="71">
        <v>0</v>
      </c>
      <c r="E104" s="71">
        <v>853</v>
      </c>
      <c r="F104" s="71">
        <v>2</v>
      </c>
      <c r="G104" s="71">
        <f t="shared" si="1"/>
        <v>0.23446658851113714</v>
      </c>
    </row>
    <row r="105" spans="1:7" s="103" customFormat="1" ht="15.75">
      <c r="A105" s="36">
        <v>1061000000</v>
      </c>
      <c r="B105" s="123">
        <v>2219</v>
      </c>
      <c r="C105" s="72" t="s">
        <v>387</v>
      </c>
      <c r="D105" s="71">
        <v>0</v>
      </c>
      <c r="E105" s="71">
        <v>3800</v>
      </c>
      <c r="F105" s="71">
        <v>39.9</v>
      </c>
      <c r="G105" s="71">
        <f t="shared" si="1"/>
        <v>1.0499999999999998</v>
      </c>
    </row>
    <row r="106" spans="1:7" s="103" customFormat="1" ht="15.75">
      <c r="A106" s="36">
        <v>1045000000</v>
      </c>
      <c r="B106" s="123">
        <v>2219</v>
      </c>
      <c r="C106" s="72" t="s">
        <v>388</v>
      </c>
      <c r="D106" s="71">
        <v>2500</v>
      </c>
      <c r="E106" s="71">
        <v>2500</v>
      </c>
      <c r="F106" s="71">
        <v>14</v>
      </c>
      <c r="G106" s="71">
        <f t="shared" si="1"/>
        <v>0.5599999999999999</v>
      </c>
    </row>
    <row r="107" spans="1:7" s="103" customFormat="1" ht="15.75">
      <c r="A107" s="21">
        <v>1003071007</v>
      </c>
      <c r="B107" s="143">
        <v>2221</v>
      </c>
      <c r="C107" s="47" t="s">
        <v>389</v>
      </c>
      <c r="D107" s="71">
        <v>41700</v>
      </c>
      <c r="E107" s="71">
        <v>26695.4</v>
      </c>
      <c r="F107" s="71">
        <f>7486.4</f>
        <v>7486.4</v>
      </c>
      <c r="G107" s="71">
        <f t="shared" si="1"/>
        <v>28.04378282400713</v>
      </c>
    </row>
    <row r="108" spans="1:7" s="103" customFormat="1" ht="15.75">
      <c r="A108" s="36">
        <v>1039000000</v>
      </c>
      <c r="B108" s="123">
        <v>2221</v>
      </c>
      <c r="C108" s="72" t="s">
        <v>390</v>
      </c>
      <c r="D108" s="71">
        <v>23650</v>
      </c>
      <c r="E108" s="71">
        <f>202+23.7+16707</f>
        <v>16932.7</v>
      </c>
      <c r="F108" s="71">
        <f>165+23.7+2064.6</f>
        <v>2253.2999999999997</v>
      </c>
      <c r="G108" s="71">
        <f t="shared" si="1"/>
        <v>13.307387481027833</v>
      </c>
    </row>
    <row r="109" spans="1:7" s="103" customFormat="1" ht="15.75">
      <c r="A109" s="36">
        <v>1036000000</v>
      </c>
      <c r="B109" s="123">
        <v>2331</v>
      </c>
      <c r="C109" s="72" t="s">
        <v>391</v>
      </c>
      <c r="D109" s="71">
        <v>727</v>
      </c>
      <c r="E109" s="71">
        <v>625.8</v>
      </c>
      <c r="F109" s="71">
        <v>36.3</v>
      </c>
      <c r="G109" s="71">
        <f t="shared" si="1"/>
        <v>5.8005752636625125</v>
      </c>
    </row>
    <row r="110" spans="1:7" s="103" customFormat="1" ht="15.75">
      <c r="A110" s="36">
        <v>1046000000</v>
      </c>
      <c r="B110" s="123">
        <v>3111</v>
      </c>
      <c r="C110" s="72" t="s">
        <v>392</v>
      </c>
      <c r="D110" s="71">
        <v>1831</v>
      </c>
      <c r="E110" s="71">
        <v>1831</v>
      </c>
      <c r="F110" s="71">
        <v>83.7</v>
      </c>
      <c r="G110" s="71">
        <f t="shared" si="1"/>
        <v>4.571272528672857</v>
      </c>
    </row>
    <row r="111" spans="1:7" s="103" customFormat="1" ht="15.75">
      <c r="A111" s="36">
        <v>1047000000</v>
      </c>
      <c r="B111" s="123">
        <v>3111</v>
      </c>
      <c r="C111" s="72" t="s">
        <v>393</v>
      </c>
      <c r="D111" s="71">
        <v>8490</v>
      </c>
      <c r="E111" s="71">
        <v>8490</v>
      </c>
      <c r="F111" s="71">
        <v>106.4</v>
      </c>
      <c r="G111" s="71">
        <f aca="true" t="shared" si="2" ref="G111:G133">(F111/E111)*100</f>
        <v>1.2532391048292109</v>
      </c>
    </row>
    <row r="112" spans="1:7" s="103" customFormat="1" ht="15.75">
      <c r="A112" s="36">
        <v>1056000000</v>
      </c>
      <c r="B112" s="123">
        <v>3111</v>
      </c>
      <c r="C112" s="72" t="s">
        <v>394</v>
      </c>
      <c r="D112" s="71">
        <v>0</v>
      </c>
      <c r="E112" s="71">
        <v>3066</v>
      </c>
      <c r="F112" s="71">
        <v>163.4</v>
      </c>
      <c r="G112" s="71">
        <f t="shared" si="2"/>
        <v>5.32941943900848</v>
      </c>
    </row>
    <row r="113" spans="1:7" s="103" customFormat="1" ht="15.75">
      <c r="A113" s="36">
        <v>1057000000</v>
      </c>
      <c r="B113" s="123">
        <v>3111</v>
      </c>
      <c r="C113" s="72" t="s">
        <v>395</v>
      </c>
      <c r="D113" s="71">
        <v>0</v>
      </c>
      <c r="E113" s="71">
        <v>1930</v>
      </c>
      <c r="F113" s="71">
        <v>1302.2</v>
      </c>
      <c r="G113" s="71">
        <f t="shared" si="2"/>
        <v>67.47150259067358</v>
      </c>
    </row>
    <row r="114" spans="1:7" s="103" customFormat="1" ht="15.75">
      <c r="A114" s="36">
        <v>1048000000</v>
      </c>
      <c r="B114" s="123">
        <v>3113</v>
      </c>
      <c r="C114" s="72" t="s">
        <v>396</v>
      </c>
      <c r="D114" s="71">
        <v>11824</v>
      </c>
      <c r="E114" s="71">
        <v>11824</v>
      </c>
      <c r="F114" s="71">
        <v>123.9</v>
      </c>
      <c r="G114" s="71">
        <f t="shared" si="2"/>
        <v>1.0478687415426253</v>
      </c>
    </row>
    <row r="115" spans="1:7" s="103" customFormat="1" ht="15.75">
      <c r="A115" s="36">
        <v>1055000000</v>
      </c>
      <c r="B115" s="123">
        <v>3113</v>
      </c>
      <c r="C115" s="72" t="s">
        <v>397</v>
      </c>
      <c r="D115" s="71">
        <v>0</v>
      </c>
      <c r="E115" s="71">
        <v>2936</v>
      </c>
      <c r="F115" s="71">
        <v>59</v>
      </c>
      <c r="G115" s="71">
        <f t="shared" si="2"/>
        <v>2.0095367847411443</v>
      </c>
    </row>
    <row r="116" spans="1:7" s="103" customFormat="1" ht="15.75">
      <c r="A116" s="21">
        <v>1017000000</v>
      </c>
      <c r="B116" s="143">
        <v>3313</v>
      </c>
      <c r="C116" s="47" t="s">
        <v>398</v>
      </c>
      <c r="D116" s="71">
        <v>400</v>
      </c>
      <c r="E116" s="71">
        <v>400</v>
      </c>
      <c r="F116" s="71">
        <v>0</v>
      </c>
      <c r="G116" s="71">
        <f t="shared" si="2"/>
        <v>0</v>
      </c>
    </row>
    <row r="117" spans="1:7" s="103" customFormat="1" ht="15.75">
      <c r="A117" s="21">
        <v>1063000000</v>
      </c>
      <c r="B117" s="143">
        <v>3421</v>
      </c>
      <c r="C117" s="47" t="s">
        <v>399</v>
      </c>
      <c r="D117" s="71">
        <v>0</v>
      </c>
      <c r="E117" s="71">
        <v>319.9</v>
      </c>
      <c r="F117" s="71">
        <v>0</v>
      </c>
      <c r="G117" s="71">
        <f t="shared" si="2"/>
        <v>0</v>
      </c>
    </row>
    <row r="118" spans="1:7" s="103" customFormat="1" ht="15.75">
      <c r="A118" s="36">
        <v>1049000000</v>
      </c>
      <c r="B118" s="123">
        <v>3632</v>
      </c>
      <c r="C118" s="72" t="s">
        <v>400</v>
      </c>
      <c r="D118" s="71">
        <v>600</v>
      </c>
      <c r="E118" s="71">
        <v>600</v>
      </c>
      <c r="F118" s="71">
        <v>0</v>
      </c>
      <c r="G118" s="71">
        <f t="shared" si="2"/>
        <v>0</v>
      </c>
    </row>
    <row r="119" spans="1:7" s="103" customFormat="1" ht="15.75">
      <c r="A119" s="36">
        <v>1016092001</v>
      </c>
      <c r="B119" s="123">
        <v>3635</v>
      </c>
      <c r="C119" s="72" t="s">
        <v>401</v>
      </c>
      <c r="D119" s="71">
        <v>1405</v>
      </c>
      <c r="E119" s="71">
        <v>1405</v>
      </c>
      <c r="F119" s="71">
        <v>0</v>
      </c>
      <c r="G119" s="71">
        <f t="shared" si="2"/>
        <v>0</v>
      </c>
    </row>
    <row r="120" spans="1:7" s="103" customFormat="1" ht="15.75">
      <c r="A120" s="36">
        <v>1060000000</v>
      </c>
      <c r="B120" s="123">
        <v>3726</v>
      </c>
      <c r="C120" s="72" t="s">
        <v>402</v>
      </c>
      <c r="D120" s="71">
        <v>0</v>
      </c>
      <c r="E120" s="71">
        <f>1935.5+54</f>
        <v>1989.5</v>
      </c>
      <c r="F120" s="71">
        <f>39.7+0.2</f>
        <v>39.900000000000006</v>
      </c>
      <c r="G120" s="71">
        <f t="shared" si="2"/>
        <v>2.0055290273938176</v>
      </c>
    </row>
    <row r="121" spans="1:7" s="103" customFormat="1" ht="15.75">
      <c r="A121" s="36">
        <v>1066000000</v>
      </c>
      <c r="B121" s="123">
        <v>3745</v>
      </c>
      <c r="C121" s="72" t="s">
        <v>403</v>
      </c>
      <c r="D121" s="71">
        <v>0</v>
      </c>
      <c r="E121" s="71">
        <v>58.7</v>
      </c>
      <c r="F121" s="71">
        <v>58.7</v>
      </c>
      <c r="G121" s="71">
        <f t="shared" si="2"/>
        <v>100</v>
      </c>
    </row>
    <row r="122" spans="1:7" s="103" customFormat="1" ht="15.75">
      <c r="A122" s="36">
        <v>1069000000</v>
      </c>
      <c r="B122" s="123">
        <v>3745</v>
      </c>
      <c r="C122" s="72" t="s">
        <v>404</v>
      </c>
      <c r="D122" s="71">
        <v>0</v>
      </c>
      <c r="E122" s="71">
        <v>1114.4</v>
      </c>
      <c r="F122" s="71">
        <v>5.4</v>
      </c>
      <c r="G122" s="71">
        <f t="shared" si="2"/>
        <v>0.4845656855707107</v>
      </c>
    </row>
    <row r="123" spans="1:7" s="103" customFormat="1" ht="15.75">
      <c r="A123" s="36">
        <v>1070000000</v>
      </c>
      <c r="B123" s="123">
        <v>3745</v>
      </c>
      <c r="C123" s="72" t="s">
        <v>405</v>
      </c>
      <c r="D123" s="71">
        <v>0</v>
      </c>
      <c r="E123" s="71">
        <v>285</v>
      </c>
      <c r="F123" s="71">
        <v>0</v>
      </c>
      <c r="G123" s="71">
        <f t="shared" si="2"/>
        <v>0</v>
      </c>
    </row>
    <row r="124" spans="1:7" s="103" customFormat="1" ht="15.75">
      <c r="A124" s="36">
        <v>1071000000</v>
      </c>
      <c r="B124" s="123">
        <v>3745</v>
      </c>
      <c r="C124" s="72" t="s">
        <v>406</v>
      </c>
      <c r="D124" s="71">
        <v>0</v>
      </c>
      <c r="E124" s="71">
        <v>237.9</v>
      </c>
      <c r="F124" s="71">
        <v>0</v>
      </c>
      <c r="G124" s="71">
        <f t="shared" si="2"/>
        <v>0</v>
      </c>
    </row>
    <row r="125" spans="1:7" s="103" customFormat="1" ht="15.75">
      <c r="A125" s="36">
        <v>1040000000</v>
      </c>
      <c r="B125" s="123">
        <v>4349</v>
      </c>
      <c r="C125" s="72" t="s">
        <v>407</v>
      </c>
      <c r="D125" s="71">
        <v>0</v>
      </c>
      <c r="E125" s="71">
        <v>116.9</v>
      </c>
      <c r="F125" s="71">
        <v>116.9</v>
      </c>
      <c r="G125" s="71">
        <f t="shared" si="2"/>
        <v>100</v>
      </c>
    </row>
    <row r="126" spans="1:7" s="103" customFormat="1" ht="15.75">
      <c r="A126" s="36">
        <v>1041000000</v>
      </c>
      <c r="B126" s="123">
        <v>4349</v>
      </c>
      <c r="C126" s="72" t="s">
        <v>408</v>
      </c>
      <c r="D126" s="71">
        <v>0</v>
      </c>
      <c r="E126" s="71">
        <v>400</v>
      </c>
      <c r="F126" s="71">
        <v>367.4</v>
      </c>
      <c r="G126" s="71">
        <f t="shared" si="2"/>
        <v>91.85</v>
      </c>
    </row>
    <row r="127" spans="1:7" s="103" customFormat="1" ht="15.75">
      <c r="A127" s="36">
        <v>1053000000</v>
      </c>
      <c r="B127" s="123">
        <v>4349</v>
      </c>
      <c r="C127" s="72" t="s">
        <v>409</v>
      </c>
      <c r="D127" s="71">
        <v>0</v>
      </c>
      <c r="E127" s="71">
        <v>497</v>
      </c>
      <c r="F127" s="71">
        <v>47</v>
      </c>
      <c r="G127" s="71">
        <f t="shared" si="2"/>
        <v>9.456740442655935</v>
      </c>
    </row>
    <row r="128" spans="1:7" s="103" customFormat="1" ht="15.75">
      <c r="A128" s="36">
        <v>1001081012</v>
      </c>
      <c r="B128" s="123">
        <v>4357</v>
      </c>
      <c r="C128" s="72" t="s">
        <v>410</v>
      </c>
      <c r="D128" s="71">
        <v>500</v>
      </c>
      <c r="E128" s="71">
        <v>500</v>
      </c>
      <c r="F128" s="71">
        <v>492.5</v>
      </c>
      <c r="G128" s="71">
        <f t="shared" si="2"/>
        <v>98.5</v>
      </c>
    </row>
    <row r="129" spans="1:82" s="97" customFormat="1" ht="15">
      <c r="A129" s="144">
        <v>1065000000</v>
      </c>
      <c r="B129" s="145">
        <v>4357</v>
      </c>
      <c r="C129" s="144" t="s">
        <v>411</v>
      </c>
      <c r="D129" s="71">
        <v>0</v>
      </c>
      <c r="E129" s="71">
        <v>792</v>
      </c>
      <c r="F129" s="71">
        <v>791.9</v>
      </c>
      <c r="G129" s="71">
        <f t="shared" si="2"/>
        <v>99.98737373737373</v>
      </c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</row>
    <row r="130" spans="1:7" s="103" customFormat="1" ht="15.75">
      <c r="A130" s="36">
        <v>1008010025</v>
      </c>
      <c r="B130" s="123">
        <v>4374</v>
      </c>
      <c r="C130" s="72" t="s">
        <v>412</v>
      </c>
      <c r="D130" s="71">
        <v>500</v>
      </c>
      <c r="E130" s="71">
        <v>500</v>
      </c>
      <c r="F130" s="71">
        <v>2.3</v>
      </c>
      <c r="G130" s="71">
        <f t="shared" si="2"/>
        <v>0.45999999999999996</v>
      </c>
    </row>
    <row r="131" spans="1:7" s="103" customFormat="1" ht="15.75">
      <c r="A131" s="36">
        <v>1050000000</v>
      </c>
      <c r="B131" s="123">
        <v>6171</v>
      </c>
      <c r="C131" s="72" t="s">
        <v>413</v>
      </c>
      <c r="D131" s="71">
        <v>2700</v>
      </c>
      <c r="E131" s="71">
        <v>2236.9</v>
      </c>
      <c r="F131" s="71">
        <v>2236.9</v>
      </c>
      <c r="G131" s="71">
        <f t="shared" si="2"/>
        <v>100</v>
      </c>
    </row>
    <row r="132" spans="1:7" s="103" customFormat="1" ht="15.75">
      <c r="A132" s="36"/>
      <c r="B132" s="123"/>
      <c r="C132" s="72"/>
      <c r="D132" s="71"/>
      <c r="E132" s="71"/>
      <c r="F132" s="71"/>
      <c r="G132" s="71"/>
    </row>
    <row r="133" spans="1:7" s="109" customFormat="1" ht="16.5" customHeight="1">
      <c r="A133" s="55"/>
      <c r="B133" s="146"/>
      <c r="C133" s="54" t="s">
        <v>414</v>
      </c>
      <c r="D133" s="147">
        <f>SUM(D84:D132)</f>
        <v>116933</v>
      </c>
      <c r="E133" s="147">
        <f>SUM(E84:E132)</f>
        <v>126302.79999999997</v>
      </c>
      <c r="F133" s="147">
        <f>SUM(F84:F132)</f>
        <v>17236.999999999996</v>
      </c>
      <c r="G133" s="71">
        <f t="shared" si="2"/>
        <v>13.647361737031957</v>
      </c>
    </row>
    <row r="134" spans="1:7" s="109" customFormat="1" ht="16.5" customHeight="1" hidden="1">
      <c r="A134" s="55"/>
      <c r="B134" s="146"/>
      <c r="C134" s="54" t="s">
        <v>415</v>
      </c>
      <c r="D134" s="147" t="e">
        <f>SUM(#REF!+#REF!+#REF!+#REF!)</f>
        <v>#REF!</v>
      </c>
      <c r="E134" s="147" t="e">
        <f>SUM(#REF!+92+#REF!+#REF!)</f>
        <v>#REF!</v>
      </c>
      <c r="F134" s="147" t="e">
        <f>SUM(#REF!+#REF!+#REF!+#REF!)</f>
        <v>#REF!</v>
      </c>
      <c r="G134" s="71" t="e">
        <f>(#REF!/E134)*100</f>
        <v>#REF!</v>
      </c>
    </row>
    <row r="135" spans="1:7" s="103" customFormat="1" ht="15.75" customHeight="1" thickBot="1">
      <c r="A135" s="36"/>
      <c r="B135" s="123"/>
      <c r="C135" s="72"/>
      <c r="D135" s="71"/>
      <c r="E135" s="71"/>
      <c r="F135" s="71"/>
      <c r="G135" s="71"/>
    </row>
    <row r="136" spans="1:7" s="103" customFormat="1" ht="12.75" customHeight="1" hidden="1" thickBot="1">
      <c r="A136" s="148"/>
      <c r="B136" s="149"/>
      <c r="C136" s="150"/>
      <c r="D136" s="151"/>
      <c r="E136" s="151"/>
      <c r="F136" s="151"/>
      <c r="G136" s="151"/>
    </row>
    <row r="137" spans="1:7" s="98" customFormat="1" ht="18.75" customHeight="1" thickBot="1" thickTop="1">
      <c r="A137" s="152"/>
      <c r="B137" s="130"/>
      <c r="C137" s="153" t="s">
        <v>416</v>
      </c>
      <c r="D137" s="132">
        <f>SUM(D82,D133)</f>
        <v>188459</v>
      </c>
      <c r="E137" s="132">
        <f>SUM(E82,E133)</f>
        <v>211860.39999999997</v>
      </c>
      <c r="F137" s="132">
        <f>SUM(F82,F133)</f>
        <v>72228.6</v>
      </c>
      <c r="G137" s="132">
        <f>(F137/E137)*100</f>
        <v>34.09254395819134</v>
      </c>
    </row>
    <row r="138" spans="1:7" s="103" customFormat="1" ht="16.5" customHeight="1">
      <c r="A138" s="133"/>
      <c r="B138" s="154"/>
      <c r="C138" s="133"/>
      <c r="D138" s="135"/>
      <c r="E138" s="155"/>
      <c r="F138" s="107"/>
      <c r="G138" s="107"/>
    </row>
    <row r="139" spans="1:7" s="98" customFormat="1" ht="12.75" customHeight="1" hidden="1">
      <c r="A139" s="97"/>
      <c r="B139" s="100"/>
      <c r="C139" s="133"/>
      <c r="D139" s="135"/>
      <c r="E139" s="135"/>
      <c r="F139" s="135"/>
      <c r="G139" s="135"/>
    </row>
    <row r="140" spans="1:7" s="98" customFormat="1" ht="12.75" customHeight="1" hidden="1">
      <c r="A140" s="97"/>
      <c r="B140" s="100"/>
      <c r="C140" s="133"/>
      <c r="D140" s="135"/>
      <c r="E140" s="135"/>
      <c r="F140" s="135"/>
      <c r="G140" s="135"/>
    </row>
    <row r="141" spans="1:7" s="98" customFormat="1" ht="12.75" customHeight="1" hidden="1">
      <c r="A141" s="97"/>
      <c r="B141" s="100"/>
      <c r="C141" s="133"/>
      <c r="D141" s="135"/>
      <c r="E141" s="135"/>
      <c r="F141" s="135"/>
      <c r="G141" s="135"/>
    </row>
    <row r="142" spans="1:7" s="98" customFormat="1" ht="12.75" customHeight="1" hidden="1">
      <c r="A142" s="97"/>
      <c r="B142" s="100"/>
      <c r="C142" s="133"/>
      <c r="D142" s="135"/>
      <c r="E142" s="135"/>
      <c r="F142" s="135"/>
      <c r="G142" s="135"/>
    </row>
    <row r="143" spans="1:7" s="98" customFormat="1" ht="12.75" customHeight="1" hidden="1">
      <c r="A143" s="97"/>
      <c r="B143" s="100"/>
      <c r="C143" s="133"/>
      <c r="D143" s="135"/>
      <c r="E143" s="135"/>
      <c r="F143" s="135"/>
      <c r="G143" s="135"/>
    </row>
    <row r="144" spans="1:7" s="98" customFormat="1" ht="12.75" customHeight="1" hidden="1">
      <c r="A144" s="97"/>
      <c r="B144" s="100"/>
      <c r="C144" s="133"/>
      <c r="D144" s="135"/>
      <c r="E144" s="135"/>
      <c r="F144" s="135"/>
      <c r="G144" s="135"/>
    </row>
    <row r="145" spans="1:7" s="98" customFormat="1" ht="15.75" customHeight="1" thickBot="1">
      <c r="A145" s="97"/>
      <c r="B145" s="100"/>
      <c r="C145" s="133"/>
      <c r="D145" s="135"/>
      <c r="E145" s="114"/>
      <c r="F145" s="114"/>
      <c r="G145" s="114"/>
    </row>
    <row r="146" spans="1:7" s="98" customFormat="1" ht="15.75">
      <c r="A146" s="215" t="s">
        <v>25</v>
      </c>
      <c r="B146" s="216" t="s">
        <v>26</v>
      </c>
      <c r="C146" s="215" t="s">
        <v>28</v>
      </c>
      <c r="D146" s="215" t="s">
        <v>29</v>
      </c>
      <c r="E146" s="215" t="s">
        <v>29</v>
      </c>
      <c r="F146" s="209" t="s">
        <v>8</v>
      </c>
      <c r="G146" s="215" t="s">
        <v>307</v>
      </c>
    </row>
    <row r="147" spans="1:7" s="98" customFormat="1" ht="15.75" customHeight="1" thickBot="1">
      <c r="A147" s="217"/>
      <c r="B147" s="218"/>
      <c r="C147" s="219"/>
      <c r="D147" s="220" t="s">
        <v>31</v>
      </c>
      <c r="E147" s="220" t="s">
        <v>32</v>
      </c>
      <c r="F147" s="213" t="s">
        <v>33</v>
      </c>
      <c r="G147" s="220" t="s">
        <v>308</v>
      </c>
    </row>
    <row r="148" spans="1:7" s="98" customFormat="1" ht="16.5" customHeight="1" thickTop="1">
      <c r="A148" s="118">
        <v>30</v>
      </c>
      <c r="B148" s="118"/>
      <c r="C148" s="55" t="s">
        <v>124</v>
      </c>
      <c r="D148" s="57"/>
      <c r="E148" s="57"/>
      <c r="F148" s="57"/>
      <c r="G148" s="57"/>
    </row>
    <row r="149" spans="1:7" s="98" customFormat="1" ht="16.5" customHeight="1">
      <c r="A149" s="156">
        <v>31</v>
      </c>
      <c r="B149" s="156"/>
      <c r="C149" s="55"/>
      <c r="D149" s="71"/>
      <c r="E149" s="71"/>
      <c r="F149" s="71"/>
      <c r="G149" s="71"/>
    </row>
    <row r="150" spans="1:7" s="98" customFormat="1" ht="15">
      <c r="A150" s="36"/>
      <c r="B150" s="157">
        <v>3341</v>
      </c>
      <c r="C150" s="97" t="s">
        <v>417</v>
      </c>
      <c r="D150" s="71">
        <v>30</v>
      </c>
      <c r="E150" s="71">
        <v>30</v>
      </c>
      <c r="F150" s="71">
        <v>10.9</v>
      </c>
      <c r="G150" s="71">
        <f aca="true" t="shared" si="3" ref="G150:G160">(F150/E150)*100</f>
        <v>36.333333333333336</v>
      </c>
    </row>
    <row r="151" spans="1:7" s="98" customFormat="1" ht="15.75" customHeight="1">
      <c r="A151" s="36"/>
      <c r="B151" s="157">
        <v>3349</v>
      </c>
      <c r="C151" s="72" t="s">
        <v>418</v>
      </c>
      <c r="D151" s="71">
        <v>735</v>
      </c>
      <c r="E151" s="71">
        <v>735</v>
      </c>
      <c r="F151" s="71">
        <v>501.6</v>
      </c>
      <c r="G151" s="71">
        <f t="shared" si="3"/>
        <v>68.24489795918367</v>
      </c>
    </row>
    <row r="152" spans="1:7" s="98" customFormat="1" ht="15.75" customHeight="1">
      <c r="A152" s="36"/>
      <c r="B152" s="157">
        <v>5212</v>
      </c>
      <c r="C152" s="36" t="s">
        <v>419</v>
      </c>
      <c r="D152" s="158">
        <v>20</v>
      </c>
      <c r="E152" s="158">
        <v>20</v>
      </c>
      <c r="F152" s="71">
        <v>0</v>
      </c>
      <c r="G152" s="71">
        <f t="shared" si="3"/>
        <v>0</v>
      </c>
    </row>
    <row r="153" spans="1:7" s="98" customFormat="1" ht="15.75" customHeight="1">
      <c r="A153" s="36"/>
      <c r="B153" s="157">
        <v>5279</v>
      </c>
      <c r="C153" s="36" t="s">
        <v>420</v>
      </c>
      <c r="D153" s="158">
        <v>50</v>
      </c>
      <c r="E153" s="158">
        <v>50</v>
      </c>
      <c r="F153" s="71">
        <v>0</v>
      </c>
      <c r="G153" s="71">
        <f t="shared" si="3"/>
        <v>0</v>
      </c>
    </row>
    <row r="154" spans="1:7" s="98" customFormat="1" ht="15">
      <c r="A154" s="36"/>
      <c r="B154" s="157">
        <v>5512</v>
      </c>
      <c r="C154" s="97" t="s">
        <v>421</v>
      </c>
      <c r="D154" s="71">
        <v>3838</v>
      </c>
      <c r="E154" s="71">
        <v>11446</v>
      </c>
      <c r="F154" s="71">
        <v>1549.5</v>
      </c>
      <c r="G154" s="71">
        <f t="shared" si="3"/>
        <v>13.53748034247772</v>
      </c>
    </row>
    <row r="155" spans="1:7" s="98" customFormat="1" ht="15.75" customHeight="1">
      <c r="A155" s="36"/>
      <c r="B155" s="157">
        <v>6112</v>
      </c>
      <c r="C155" s="72" t="s">
        <v>422</v>
      </c>
      <c r="D155" s="71">
        <v>4988.3</v>
      </c>
      <c r="E155" s="71">
        <v>4991.3</v>
      </c>
      <c r="F155" s="71">
        <v>3282.3</v>
      </c>
      <c r="G155" s="71">
        <f t="shared" si="3"/>
        <v>65.76042313625709</v>
      </c>
    </row>
    <row r="156" spans="1:7" s="98" customFormat="1" ht="15.75" customHeight="1" hidden="1">
      <c r="A156" s="36"/>
      <c r="B156" s="157">
        <v>6114</v>
      </c>
      <c r="C156" s="72" t="s">
        <v>423</v>
      </c>
      <c r="D156" s="71">
        <v>0</v>
      </c>
      <c r="E156" s="71"/>
      <c r="F156" s="71"/>
      <c r="G156" s="71" t="e">
        <f t="shared" si="3"/>
        <v>#DIV/0!</v>
      </c>
    </row>
    <row r="157" spans="1:7" s="98" customFormat="1" ht="15.75" customHeight="1" hidden="1">
      <c r="A157" s="36"/>
      <c r="B157" s="157">
        <v>6115</v>
      </c>
      <c r="C157" s="72" t="s">
        <v>424</v>
      </c>
      <c r="D157" s="71">
        <v>0</v>
      </c>
      <c r="E157" s="71"/>
      <c r="F157" s="71"/>
      <c r="G157" s="71" t="e">
        <f t="shared" si="3"/>
        <v>#DIV/0!</v>
      </c>
    </row>
    <row r="158" spans="1:7" s="98" customFormat="1" ht="15.75" customHeight="1">
      <c r="A158" s="36"/>
      <c r="B158" s="157">
        <v>6118</v>
      </c>
      <c r="C158" s="72" t="s">
        <v>425</v>
      </c>
      <c r="D158" s="158">
        <v>0</v>
      </c>
      <c r="E158" s="158">
        <v>469.4</v>
      </c>
      <c r="F158" s="71">
        <v>469.4</v>
      </c>
      <c r="G158" s="71">
        <f t="shared" si="3"/>
        <v>100</v>
      </c>
    </row>
    <row r="159" spans="1:7" s="98" customFormat="1" ht="15.75" customHeight="1" hidden="1">
      <c r="A159" s="36"/>
      <c r="B159" s="157">
        <v>6149</v>
      </c>
      <c r="C159" s="72" t="s">
        <v>426</v>
      </c>
      <c r="D159" s="158">
        <v>0</v>
      </c>
      <c r="E159" s="158">
        <v>0</v>
      </c>
      <c r="F159" s="71"/>
      <c r="G159" s="71" t="e">
        <f t="shared" si="3"/>
        <v>#DIV/0!</v>
      </c>
    </row>
    <row r="160" spans="1:7" s="98" customFormat="1" ht="17.25" customHeight="1">
      <c r="A160" s="157" t="s">
        <v>427</v>
      </c>
      <c r="B160" s="157">
        <v>6171</v>
      </c>
      <c r="C160" s="72" t="s">
        <v>428</v>
      </c>
      <c r="D160" s="71">
        <f>100227+200</f>
        <v>100427</v>
      </c>
      <c r="E160" s="71">
        <f>105831.2+220</f>
        <v>106051.2</v>
      </c>
      <c r="F160" s="71">
        <f>67315.5+134.4</f>
        <v>67449.9</v>
      </c>
      <c r="G160" s="71">
        <f t="shared" si="3"/>
        <v>63.60126052321897</v>
      </c>
    </row>
    <row r="161" spans="1:7" s="98" customFormat="1" ht="15.75" customHeight="1" thickBot="1">
      <c r="A161" s="159"/>
      <c r="B161" s="160"/>
      <c r="C161" s="161"/>
      <c r="D161" s="158"/>
      <c r="E161" s="158"/>
      <c r="F161" s="158"/>
      <c r="G161" s="158"/>
    </row>
    <row r="162" spans="1:7" s="98" customFormat="1" ht="18.75" customHeight="1" thickBot="1" thickTop="1">
      <c r="A162" s="152"/>
      <c r="B162" s="162"/>
      <c r="C162" s="163" t="s">
        <v>429</v>
      </c>
      <c r="D162" s="132">
        <f>SUM(D150:D161)</f>
        <v>110088.3</v>
      </c>
      <c r="E162" s="132">
        <f>SUM(E150:E161)</f>
        <v>123792.9</v>
      </c>
      <c r="F162" s="132">
        <f>SUM(F150:F161)</f>
        <v>73263.59999999999</v>
      </c>
      <c r="G162" s="132">
        <f>(F162/E162)*100</f>
        <v>59.18239252816599</v>
      </c>
    </row>
    <row r="163" spans="1:7" s="98" customFormat="1" ht="15.75" customHeight="1">
      <c r="A163" s="97"/>
      <c r="B163" s="100"/>
      <c r="C163" s="133"/>
      <c r="D163" s="135"/>
      <c r="E163" s="164"/>
      <c r="F163" s="135"/>
      <c r="G163" s="135"/>
    </row>
    <row r="164" spans="1:7" s="98" customFormat="1" ht="12.75" customHeight="1" hidden="1">
      <c r="A164" s="97"/>
      <c r="B164" s="100"/>
      <c r="C164" s="133"/>
      <c r="D164" s="135"/>
      <c r="E164" s="135"/>
      <c r="F164" s="135"/>
      <c r="G164" s="135"/>
    </row>
    <row r="165" spans="1:7" s="98" customFormat="1" ht="12.75" customHeight="1" hidden="1">
      <c r="A165" s="97"/>
      <c r="B165" s="100"/>
      <c r="C165" s="133"/>
      <c r="D165" s="135"/>
      <c r="E165" s="135"/>
      <c r="F165" s="135"/>
      <c r="G165" s="135"/>
    </row>
    <row r="166" spans="1:7" s="98" customFormat="1" ht="12.75" customHeight="1" hidden="1">
      <c r="A166" s="97"/>
      <c r="B166" s="100"/>
      <c r="C166" s="133"/>
      <c r="D166" s="135"/>
      <c r="E166" s="135"/>
      <c r="F166" s="135"/>
      <c r="G166" s="135"/>
    </row>
    <row r="167" spans="1:7" s="98" customFormat="1" ht="12.75" customHeight="1" hidden="1">
      <c r="A167" s="97"/>
      <c r="B167" s="100"/>
      <c r="C167" s="133"/>
      <c r="D167" s="135"/>
      <c r="E167" s="135"/>
      <c r="F167" s="135"/>
      <c r="G167" s="135"/>
    </row>
    <row r="168" spans="1:7" s="98" customFormat="1" ht="15.75" customHeight="1" thickBot="1">
      <c r="A168" s="97"/>
      <c r="B168" s="100"/>
      <c r="C168" s="133"/>
      <c r="D168" s="135"/>
      <c r="E168" s="135"/>
      <c r="F168" s="135"/>
      <c r="G168" s="135"/>
    </row>
    <row r="169" spans="1:7" s="98" customFormat="1" ht="15.75">
      <c r="A169" s="215" t="s">
        <v>25</v>
      </c>
      <c r="B169" s="216" t="s">
        <v>26</v>
      </c>
      <c r="C169" s="215" t="s">
        <v>28</v>
      </c>
      <c r="D169" s="215" t="s">
        <v>29</v>
      </c>
      <c r="E169" s="215" t="s">
        <v>29</v>
      </c>
      <c r="F169" s="209" t="s">
        <v>8</v>
      </c>
      <c r="G169" s="215" t="s">
        <v>307</v>
      </c>
    </row>
    <row r="170" spans="1:7" s="98" customFormat="1" ht="15.75" customHeight="1" thickBot="1">
      <c r="A170" s="217"/>
      <c r="B170" s="218"/>
      <c r="C170" s="219"/>
      <c r="D170" s="220" t="s">
        <v>31</v>
      </c>
      <c r="E170" s="220" t="s">
        <v>32</v>
      </c>
      <c r="F170" s="213" t="s">
        <v>33</v>
      </c>
      <c r="G170" s="220" t="s">
        <v>308</v>
      </c>
    </row>
    <row r="171" spans="1:7" s="98" customFormat="1" ht="16.5" thickTop="1">
      <c r="A171" s="118">
        <v>50</v>
      </c>
      <c r="B171" s="119"/>
      <c r="C171" s="120" t="s">
        <v>155</v>
      </c>
      <c r="D171" s="57"/>
      <c r="E171" s="57"/>
      <c r="F171" s="57"/>
      <c r="G171" s="57"/>
    </row>
    <row r="172" spans="1:7" s="98" customFormat="1" ht="14.25" customHeight="1">
      <c r="A172" s="118"/>
      <c r="B172" s="119"/>
      <c r="C172" s="120"/>
      <c r="D172" s="57"/>
      <c r="E172" s="57"/>
      <c r="F172" s="57"/>
      <c r="G172" s="57"/>
    </row>
    <row r="173" spans="1:7" s="98" customFormat="1" ht="15">
      <c r="A173" s="36"/>
      <c r="B173" s="123">
        <v>3541</v>
      </c>
      <c r="C173" s="36" t="s">
        <v>430</v>
      </c>
      <c r="D173" s="22">
        <v>400</v>
      </c>
      <c r="E173" s="22">
        <v>400</v>
      </c>
      <c r="F173" s="22">
        <v>400</v>
      </c>
      <c r="G173" s="71">
        <f aca="true" t="shared" si="4" ref="G173:G189">(F173/E173)*100</f>
        <v>100</v>
      </c>
    </row>
    <row r="174" spans="1:7" s="98" customFormat="1" ht="15">
      <c r="A174" s="36"/>
      <c r="B174" s="123">
        <v>3599</v>
      </c>
      <c r="C174" s="36" t="s">
        <v>431</v>
      </c>
      <c r="D174" s="22">
        <v>3</v>
      </c>
      <c r="E174" s="22">
        <v>5</v>
      </c>
      <c r="F174" s="22">
        <v>4.7</v>
      </c>
      <c r="G174" s="71">
        <f t="shared" si="4"/>
        <v>94</v>
      </c>
    </row>
    <row r="175" spans="1:7" s="98" customFormat="1" ht="15">
      <c r="A175" s="36"/>
      <c r="B175" s="123">
        <v>4193</v>
      </c>
      <c r="C175" s="36" t="s">
        <v>432</v>
      </c>
      <c r="D175" s="22">
        <v>0</v>
      </c>
      <c r="E175" s="22">
        <v>19.4</v>
      </c>
      <c r="F175" s="22">
        <v>0</v>
      </c>
      <c r="G175" s="71">
        <f t="shared" si="4"/>
        <v>0</v>
      </c>
    </row>
    <row r="176" spans="1:7" s="98" customFormat="1" ht="15">
      <c r="A176" s="144"/>
      <c r="B176" s="123">
        <v>4329</v>
      </c>
      <c r="C176" s="36" t="s">
        <v>433</v>
      </c>
      <c r="D176" s="22">
        <v>40</v>
      </c>
      <c r="E176" s="22">
        <v>50</v>
      </c>
      <c r="F176" s="22">
        <v>46</v>
      </c>
      <c r="G176" s="71">
        <f t="shared" si="4"/>
        <v>92</v>
      </c>
    </row>
    <row r="177" spans="1:7" s="98" customFormat="1" ht="15">
      <c r="A177" s="36"/>
      <c r="B177" s="123">
        <v>4333</v>
      </c>
      <c r="C177" s="36" t="s">
        <v>434</v>
      </c>
      <c r="D177" s="22">
        <v>150</v>
      </c>
      <c r="E177" s="22">
        <v>150</v>
      </c>
      <c r="F177" s="22">
        <v>150</v>
      </c>
      <c r="G177" s="71">
        <f t="shared" si="4"/>
        <v>100</v>
      </c>
    </row>
    <row r="178" spans="1:7" s="98" customFormat="1" ht="15" customHeight="1" hidden="1">
      <c r="A178" s="36"/>
      <c r="B178" s="123">
        <v>4341</v>
      </c>
      <c r="C178" s="36" t="s">
        <v>435</v>
      </c>
      <c r="D178" s="22">
        <v>0</v>
      </c>
      <c r="E178" s="22">
        <v>0</v>
      </c>
      <c r="F178" s="22"/>
      <c r="G178" s="71" t="e">
        <f t="shared" si="4"/>
        <v>#DIV/0!</v>
      </c>
    </row>
    <row r="179" spans="1:7" s="98" customFormat="1" ht="15">
      <c r="A179" s="36"/>
      <c r="B179" s="123">
        <v>4342</v>
      </c>
      <c r="C179" s="36" t="s">
        <v>436</v>
      </c>
      <c r="D179" s="22">
        <v>20</v>
      </c>
      <c r="E179" s="22">
        <v>0.6</v>
      </c>
      <c r="F179" s="22">
        <v>0</v>
      </c>
      <c r="G179" s="71">
        <f t="shared" si="4"/>
        <v>0</v>
      </c>
    </row>
    <row r="180" spans="1:7" s="98" customFormat="1" ht="15">
      <c r="A180" s="36"/>
      <c r="B180" s="123">
        <v>4343</v>
      </c>
      <c r="C180" s="36" t="s">
        <v>437</v>
      </c>
      <c r="D180" s="22">
        <v>50</v>
      </c>
      <c r="E180" s="22">
        <v>50</v>
      </c>
      <c r="F180" s="22">
        <v>0</v>
      </c>
      <c r="G180" s="71">
        <f t="shared" si="4"/>
        <v>0</v>
      </c>
    </row>
    <row r="181" spans="1:7" s="98" customFormat="1" ht="15">
      <c r="A181" s="36"/>
      <c r="B181" s="123">
        <v>4349</v>
      </c>
      <c r="C181" s="36" t="s">
        <v>438</v>
      </c>
      <c r="D181" s="22">
        <v>530</v>
      </c>
      <c r="E181" s="22">
        <v>799.1</v>
      </c>
      <c r="F181" s="22">
        <v>780</v>
      </c>
      <c r="G181" s="71">
        <f t="shared" si="4"/>
        <v>97.60981103741709</v>
      </c>
    </row>
    <row r="182" spans="1:7" s="98" customFormat="1" ht="15">
      <c r="A182" s="144"/>
      <c r="B182" s="165">
        <v>4351</v>
      </c>
      <c r="C182" s="144" t="s">
        <v>439</v>
      </c>
      <c r="D182" s="22">
        <v>2124</v>
      </c>
      <c r="E182" s="22">
        <v>2132.9</v>
      </c>
      <c r="F182" s="22">
        <v>2132.9</v>
      </c>
      <c r="G182" s="71">
        <f t="shared" si="4"/>
        <v>100</v>
      </c>
    </row>
    <row r="183" spans="1:7" s="98" customFormat="1" ht="15">
      <c r="A183" s="144"/>
      <c r="B183" s="165">
        <v>4356</v>
      </c>
      <c r="C183" s="144" t="s">
        <v>440</v>
      </c>
      <c r="D183" s="22">
        <v>600</v>
      </c>
      <c r="E183" s="22">
        <v>600</v>
      </c>
      <c r="F183" s="22">
        <v>600</v>
      </c>
      <c r="G183" s="71">
        <f t="shared" si="4"/>
        <v>100</v>
      </c>
    </row>
    <row r="184" spans="1:7" s="98" customFormat="1" ht="15">
      <c r="A184" s="144"/>
      <c r="B184" s="165">
        <v>4357</v>
      </c>
      <c r="C184" s="144" t="s">
        <v>441</v>
      </c>
      <c r="D184" s="22">
        <v>8200</v>
      </c>
      <c r="E184" s="22">
        <v>8200</v>
      </c>
      <c r="F184" s="22">
        <v>8200</v>
      </c>
      <c r="G184" s="71">
        <f t="shared" si="4"/>
        <v>100</v>
      </c>
    </row>
    <row r="185" spans="1:7" s="98" customFormat="1" ht="15">
      <c r="A185" s="144"/>
      <c r="B185" s="165">
        <v>4357</v>
      </c>
      <c r="C185" s="144" t="s">
        <v>442</v>
      </c>
      <c r="D185" s="22">
        <v>500</v>
      </c>
      <c r="E185" s="22">
        <v>500</v>
      </c>
      <c r="F185" s="22">
        <v>500</v>
      </c>
      <c r="G185" s="71">
        <f t="shared" si="4"/>
        <v>100</v>
      </c>
    </row>
    <row r="186" spans="1:7" s="98" customFormat="1" ht="15">
      <c r="A186" s="144"/>
      <c r="B186" s="221">
        <v>4359</v>
      </c>
      <c r="C186" s="24" t="s">
        <v>443</v>
      </c>
      <c r="D186" s="25">
        <v>100</v>
      </c>
      <c r="E186" s="25">
        <v>100</v>
      </c>
      <c r="F186" s="25">
        <v>100</v>
      </c>
      <c r="G186" s="71">
        <f t="shared" si="4"/>
        <v>100</v>
      </c>
    </row>
    <row r="187" spans="1:7" s="98" customFormat="1" ht="15">
      <c r="A187" s="36"/>
      <c r="B187" s="123">
        <v>4371</v>
      </c>
      <c r="C187" s="141" t="s">
        <v>444</v>
      </c>
      <c r="D187" s="22">
        <v>520</v>
      </c>
      <c r="E187" s="22">
        <v>520</v>
      </c>
      <c r="F187" s="22">
        <v>520</v>
      </c>
      <c r="G187" s="71">
        <f t="shared" si="4"/>
        <v>100</v>
      </c>
    </row>
    <row r="188" spans="1:7" s="98" customFormat="1" ht="15">
      <c r="A188" s="36"/>
      <c r="B188" s="123">
        <v>4374</v>
      </c>
      <c r="C188" s="36" t="s">
        <v>445</v>
      </c>
      <c r="D188" s="22">
        <v>300</v>
      </c>
      <c r="E188" s="22">
        <v>300</v>
      </c>
      <c r="F188" s="22">
        <v>300</v>
      </c>
      <c r="G188" s="71">
        <f t="shared" si="4"/>
        <v>100</v>
      </c>
    </row>
    <row r="189" spans="1:7" s="98" customFormat="1" ht="15">
      <c r="A189" s="144"/>
      <c r="B189" s="165">
        <v>4399</v>
      </c>
      <c r="C189" s="144" t="s">
        <v>446</v>
      </c>
      <c r="D189" s="25">
        <v>60</v>
      </c>
      <c r="E189" s="25">
        <v>256</v>
      </c>
      <c r="F189" s="25">
        <v>20.4</v>
      </c>
      <c r="G189" s="71">
        <f t="shared" si="4"/>
        <v>7.968749999999999</v>
      </c>
    </row>
    <row r="190" spans="1:7" s="98" customFormat="1" ht="15" hidden="1">
      <c r="A190" s="144"/>
      <c r="B190" s="165">
        <v>6402</v>
      </c>
      <c r="C190" s="144" t="s">
        <v>447</v>
      </c>
      <c r="D190" s="158"/>
      <c r="E190" s="158"/>
      <c r="F190" s="25"/>
      <c r="G190" s="71" t="e">
        <f>(#REF!/E190)*100</f>
        <v>#REF!</v>
      </c>
    </row>
    <row r="191" spans="1:7" s="98" customFormat="1" ht="15" customHeight="1" hidden="1">
      <c r="A191" s="144"/>
      <c r="B191" s="165">
        <v>6409</v>
      </c>
      <c r="C191" s="144" t="s">
        <v>448</v>
      </c>
      <c r="D191" s="158">
        <v>0</v>
      </c>
      <c r="E191" s="158">
        <v>0</v>
      </c>
      <c r="F191" s="158"/>
      <c r="G191" s="71" t="e">
        <f>(#REF!/E191)*100</f>
        <v>#REF!</v>
      </c>
    </row>
    <row r="192" spans="1:7" s="98" customFormat="1" ht="15" customHeight="1" thickBot="1">
      <c r="A192" s="144"/>
      <c r="B192" s="165"/>
      <c r="C192" s="144"/>
      <c r="D192" s="158"/>
      <c r="E192" s="158"/>
      <c r="F192" s="158" t="s">
        <v>449</v>
      </c>
      <c r="G192" s="71"/>
    </row>
    <row r="193" spans="1:7" s="98" customFormat="1" ht="18.75" customHeight="1" thickBot="1" thickTop="1">
      <c r="A193" s="152"/>
      <c r="B193" s="130"/>
      <c r="C193" s="131" t="s">
        <v>450</v>
      </c>
      <c r="D193" s="132">
        <f>SUM(D173:D192)</f>
        <v>13597</v>
      </c>
      <c r="E193" s="132">
        <f>SUM(E173:E192)</f>
        <v>14083</v>
      </c>
      <c r="F193" s="132">
        <f>SUM(F173:F192)</f>
        <v>13754</v>
      </c>
      <c r="G193" s="132">
        <f>(F193/E193)*100</f>
        <v>97.66385003195342</v>
      </c>
    </row>
    <row r="194" spans="1:7" s="98" customFormat="1" ht="15.75" customHeight="1">
      <c r="A194" s="97"/>
      <c r="B194" s="100"/>
      <c r="C194" s="133"/>
      <c r="D194" s="134"/>
      <c r="E194" s="134"/>
      <c r="F194" s="134"/>
      <c r="G194" s="134"/>
    </row>
    <row r="195" spans="1:7" s="98" customFormat="1" ht="15.75" customHeight="1" hidden="1">
      <c r="A195" s="97"/>
      <c r="B195" s="100"/>
      <c r="C195" s="133"/>
      <c r="D195" s="135"/>
      <c r="E195" s="135"/>
      <c r="F195" s="135"/>
      <c r="G195" s="135"/>
    </row>
    <row r="196" spans="1:7" s="98" customFormat="1" ht="12.75" customHeight="1" hidden="1">
      <c r="A196" s="97"/>
      <c r="C196" s="100"/>
      <c r="D196" s="135"/>
      <c r="E196" s="135"/>
      <c r="F196" s="135"/>
      <c r="G196" s="135"/>
    </row>
    <row r="197" spans="1:7" s="98" customFormat="1" ht="12.75" customHeight="1" hidden="1">
      <c r="A197" s="97"/>
      <c r="B197" s="100"/>
      <c r="C197" s="133"/>
      <c r="D197" s="135"/>
      <c r="E197" s="135"/>
      <c r="F197" s="135"/>
      <c r="G197" s="135"/>
    </row>
    <row r="198" spans="1:7" s="98" customFormat="1" ht="12.75" customHeight="1" hidden="1">
      <c r="A198" s="97"/>
      <c r="B198" s="100"/>
      <c r="C198" s="133"/>
      <c r="D198" s="135"/>
      <c r="E198" s="135"/>
      <c r="F198" s="135"/>
      <c r="G198" s="135"/>
    </row>
    <row r="199" spans="1:7" s="98" customFormat="1" ht="12.75" customHeight="1" hidden="1">
      <c r="A199" s="97"/>
      <c r="B199" s="100"/>
      <c r="C199" s="133"/>
      <c r="D199" s="135"/>
      <c r="E199" s="135"/>
      <c r="F199" s="135"/>
      <c r="G199" s="135"/>
    </row>
    <row r="200" spans="1:7" s="98" customFormat="1" ht="12.75" customHeight="1" hidden="1">
      <c r="A200" s="97"/>
      <c r="B200" s="100"/>
      <c r="C200" s="133"/>
      <c r="D200" s="135"/>
      <c r="E200" s="135"/>
      <c r="F200" s="135"/>
      <c r="G200" s="135"/>
    </row>
    <row r="201" spans="1:7" s="98" customFormat="1" ht="12.75" customHeight="1" hidden="1">
      <c r="A201" s="97"/>
      <c r="B201" s="100"/>
      <c r="C201" s="133"/>
      <c r="D201" s="135"/>
      <c r="E201" s="135"/>
      <c r="F201" s="135"/>
      <c r="G201" s="135"/>
    </row>
    <row r="202" spans="1:7" s="98" customFormat="1" ht="12.75" customHeight="1" hidden="1">
      <c r="A202" s="97"/>
      <c r="B202" s="100"/>
      <c r="C202" s="133"/>
      <c r="D202" s="135"/>
      <c r="E202" s="107"/>
      <c r="F202" s="107"/>
      <c r="G202" s="107"/>
    </row>
    <row r="203" spans="1:7" s="98" customFormat="1" ht="12.75" customHeight="1" hidden="1">
      <c r="A203" s="97"/>
      <c r="B203" s="100"/>
      <c r="C203" s="133"/>
      <c r="D203" s="135"/>
      <c r="E203" s="135"/>
      <c r="F203" s="135"/>
      <c r="G203" s="135"/>
    </row>
    <row r="204" spans="1:7" s="98" customFormat="1" ht="12.75" customHeight="1" hidden="1">
      <c r="A204" s="97"/>
      <c r="B204" s="100"/>
      <c r="C204" s="133"/>
      <c r="D204" s="135"/>
      <c r="E204" s="135"/>
      <c r="F204" s="135"/>
      <c r="G204" s="135"/>
    </row>
    <row r="205" spans="1:7" s="98" customFormat="1" ht="18" customHeight="1" hidden="1">
      <c r="A205" s="97"/>
      <c r="B205" s="100"/>
      <c r="C205" s="133"/>
      <c r="D205" s="135"/>
      <c r="E205" s="107"/>
      <c r="F205" s="107"/>
      <c r="G205" s="107"/>
    </row>
    <row r="206" spans="1:7" s="98" customFormat="1" ht="15.75" customHeight="1" thickBot="1">
      <c r="A206" s="97"/>
      <c r="B206" s="100"/>
      <c r="C206" s="133"/>
      <c r="D206" s="135"/>
      <c r="E206" s="114"/>
      <c r="F206" s="114"/>
      <c r="G206" s="114"/>
    </row>
    <row r="207" spans="1:7" s="98" customFormat="1" ht="15.75">
      <c r="A207" s="215" t="s">
        <v>25</v>
      </c>
      <c r="B207" s="216" t="s">
        <v>26</v>
      </c>
      <c r="C207" s="215" t="s">
        <v>28</v>
      </c>
      <c r="D207" s="215" t="s">
        <v>29</v>
      </c>
      <c r="E207" s="215" t="s">
        <v>29</v>
      </c>
      <c r="F207" s="209" t="s">
        <v>8</v>
      </c>
      <c r="G207" s="215" t="s">
        <v>307</v>
      </c>
    </row>
    <row r="208" spans="1:7" s="98" customFormat="1" ht="15.75" customHeight="1" thickBot="1">
      <c r="A208" s="217"/>
      <c r="B208" s="218"/>
      <c r="C208" s="219"/>
      <c r="D208" s="220" t="s">
        <v>31</v>
      </c>
      <c r="E208" s="220" t="s">
        <v>32</v>
      </c>
      <c r="F208" s="213" t="s">
        <v>33</v>
      </c>
      <c r="G208" s="220" t="s">
        <v>308</v>
      </c>
    </row>
    <row r="209" spans="1:7" s="98" customFormat="1" ht="16.5" thickTop="1">
      <c r="A209" s="118">
        <v>60</v>
      </c>
      <c r="B209" s="119"/>
      <c r="C209" s="120" t="s">
        <v>173</v>
      </c>
      <c r="D209" s="57"/>
      <c r="E209" s="57"/>
      <c r="F209" s="57"/>
      <c r="G209" s="57"/>
    </row>
    <row r="210" spans="1:7" s="98" customFormat="1" ht="15.75">
      <c r="A210" s="69"/>
      <c r="B210" s="122"/>
      <c r="C210" s="69"/>
      <c r="D210" s="71"/>
      <c r="E210" s="71"/>
      <c r="F210" s="71"/>
      <c r="G210" s="71"/>
    </row>
    <row r="211" spans="1:7" s="98" customFormat="1" ht="15">
      <c r="A211" s="36"/>
      <c r="B211" s="123">
        <v>1014</v>
      </c>
      <c r="C211" s="36" t="s">
        <v>451</v>
      </c>
      <c r="D211" s="22">
        <v>550</v>
      </c>
      <c r="E211" s="22">
        <v>546</v>
      </c>
      <c r="F211" s="22">
        <v>418.1</v>
      </c>
      <c r="G211" s="71">
        <f aca="true" t="shared" si="5" ref="G211:G221">(F211/E211)*100</f>
        <v>76.57509157509158</v>
      </c>
    </row>
    <row r="212" spans="1:7" s="98" customFormat="1" ht="15" customHeight="1" hidden="1">
      <c r="A212" s="144"/>
      <c r="B212" s="165">
        <v>1031</v>
      </c>
      <c r="C212" s="144" t="s">
        <v>452</v>
      </c>
      <c r="D212" s="25"/>
      <c r="E212" s="25"/>
      <c r="F212" s="25"/>
      <c r="G212" s="71" t="e">
        <f t="shared" si="5"/>
        <v>#DIV/0!</v>
      </c>
    </row>
    <row r="213" spans="1:7" s="98" customFormat="1" ht="15">
      <c r="A213" s="36"/>
      <c r="B213" s="123">
        <v>1036</v>
      </c>
      <c r="C213" s="36" t="s">
        <v>453</v>
      </c>
      <c r="D213" s="22">
        <v>0</v>
      </c>
      <c r="E213" s="22">
        <v>70.3</v>
      </c>
      <c r="F213" s="22">
        <v>70.2</v>
      </c>
      <c r="G213" s="71">
        <f t="shared" si="5"/>
        <v>99.85775248933145</v>
      </c>
    </row>
    <row r="214" spans="1:7" s="98" customFormat="1" ht="15" customHeight="1">
      <c r="A214" s="144"/>
      <c r="B214" s="165">
        <v>1037</v>
      </c>
      <c r="C214" s="144" t="s">
        <v>454</v>
      </c>
      <c r="D214" s="25">
        <v>0</v>
      </c>
      <c r="E214" s="25">
        <v>68.3</v>
      </c>
      <c r="F214" s="25">
        <v>68.3</v>
      </c>
      <c r="G214" s="71">
        <f t="shared" si="5"/>
        <v>100</v>
      </c>
    </row>
    <row r="215" spans="1:7" s="98" customFormat="1" ht="15" hidden="1">
      <c r="A215" s="144"/>
      <c r="B215" s="165">
        <v>1039</v>
      </c>
      <c r="C215" s="144" t="s">
        <v>455</v>
      </c>
      <c r="D215" s="25">
        <v>0</v>
      </c>
      <c r="E215" s="25"/>
      <c r="F215" s="25"/>
      <c r="G215" s="71" t="e">
        <f t="shared" si="5"/>
        <v>#DIV/0!</v>
      </c>
    </row>
    <row r="216" spans="1:7" s="98" customFormat="1" ht="15">
      <c r="A216" s="144"/>
      <c r="B216" s="165">
        <v>1070</v>
      </c>
      <c r="C216" s="144" t="s">
        <v>456</v>
      </c>
      <c r="D216" s="25">
        <v>7</v>
      </c>
      <c r="E216" s="25">
        <v>6.5</v>
      </c>
      <c r="F216" s="25">
        <v>6.5</v>
      </c>
      <c r="G216" s="71">
        <f t="shared" si="5"/>
        <v>100</v>
      </c>
    </row>
    <row r="217" spans="1:7" s="98" customFormat="1" ht="15" hidden="1">
      <c r="A217" s="144"/>
      <c r="B217" s="165">
        <v>2331</v>
      </c>
      <c r="C217" s="144" t="s">
        <v>457</v>
      </c>
      <c r="D217" s="25"/>
      <c r="E217" s="25"/>
      <c r="F217" s="22"/>
      <c r="G217" s="71" t="e">
        <f t="shared" si="5"/>
        <v>#DIV/0!</v>
      </c>
    </row>
    <row r="218" spans="1:7" s="98" customFormat="1" ht="15">
      <c r="A218" s="144"/>
      <c r="B218" s="165">
        <v>3739</v>
      </c>
      <c r="C218" s="144" t="s">
        <v>458</v>
      </c>
      <c r="D218" s="22">
        <v>50</v>
      </c>
      <c r="E218" s="22">
        <v>50</v>
      </c>
      <c r="F218" s="22">
        <v>0</v>
      </c>
      <c r="G218" s="71">
        <f t="shared" si="5"/>
        <v>0</v>
      </c>
    </row>
    <row r="219" spans="1:7" s="98" customFormat="1" ht="15">
      <c r="A219" s="36"/>
      <c r="B219" s="123">
        <v>3749</v>
      </c>
      <c r="C219" s="36" t="s">
        <v>459</v>
      </c>
      <c r="D219" s="22">
        <v>50</v>
      </c>
      <c r="E219" s="22">
        <v>69</v>
      </c>
      <c r="F219" s="22">
        <v>15.5</v>
      </c>
      <c r="G219" s="71">
        <f t="shared" si="5"/>
        <v>22.463768115942027</v>
      </c>
    </row>
    <row r="220" spans="1:7" s="98" customFormat="1" ht="15">
      <c r="A220" s="36"/>
      <c r="B220" s="123">
        <v>5272</v>
      </c>
      <c r="C220" s="36" t="s">
        <v>460</v>
      </c>
      <c r="D220" s="22">
        <v>0</v>
      </c>
      <c r="E220" s="22">
        <v>100</v>
      </c>
      <c r="F220" s="22">
        <v>100</v>
      </c>
      <c r="G220" s="71">
        <f t="shared" si="5"/>
        <v>100</v>
      </c>
    </row>
    <row r="221" spans="1:7" s="98" customFormat="1" ht="15">
      <c r="A221" s="36"/>
      <c r="B221" s="123">
        <v>6171</v>
      </c>
      <c r="C221" s="36" t="s">
        <v>461</v>
      </c>
      <c r="D221" s="22">
        <v>0</v>
      </c>
      <c r="E221" s="22">
        <v>5.5</v>
      </c>
      <c r="F221" s="22">
        <v>5.3</v>
      </c>
      <c r="G221" s="71">
        <f t="shared" si="5"/>
        <v>96.36363636363636</v>
      </c>
    </row>
    <row r="222" spans="1:7" s="98" customFormat="1" ht="15.75" thickBot="1">
      <c r="A222" s="125"/>
      <c r="B222" s="166"/>
      <c r="C222" s="125"/>
      <c r="D222" s="158"/>
      <c r="E222" s="158"/>
      <c r="F222" s="158"/>
      <c r="G222" s="158"/>
    </row>
    <row r="223" spans="1:7" s="98" customFormat="1" ht="18.75" customHeight="1" thickBot="1" thickTop="1">
      <c r="A223" s="129"/>
      <c r="B223" s="167"/>
      <c r="C223" s="168" t="s">
        <v>462</v>
      </c>
      <c r="D223" s="132">
        <f>SUM(D209:D222)</f>
        <v>657</v>
      </c>
      <c r="E223" s="132">
        <f>SUM(E210:E222)</f>
        <v>915.5999999999999</v>
      </c>
      <c r="F223" s="132">
        <f>SUM(F209:F222)</f>
        <v>683.9</v>
      </c>
      <c r="G223" s="132">
        <f>(F223/E223)*100</f>
        <v>74.6941896024465</v>
      </c>
    </row>
    <row r="224" spans="1:7" s="98" customFormat="1" ht="12.75" customHeight="1">
      <c r="A224" s="97"/>
      <c r="B224" s="100"/>
      <c r="C224" s="133"/>
      <c r="D224" s="135"/>
      <c r="E224" s="135"/>
      <c r="F224" s="135"/>
      <c r="G224" s="135"/>
    </row>
    <row r="225" spans="1:7" s="98" customFormat="1" ht="12.75" customHeight="1" hidden="1">
      <c r="A225" s="97"/>
      <c r="B225" s="100"/>
      <c r="C225" s="133"/>
      <c r="D225" s="135"/>
      <c r="E225" s="135"/>
      <c r="F225" s="135"/>
      <c r="G225" s="135"/>
    </row>
    <row r="226" spans="1:7" s="98" customFormat="1" ht="12.75" customHeight="1" hidden="1">
      <c r="A226" s="97"/>
      <c r="B226" s="100"/>
      <c r="C226" s="133"/>
      <c r="D226" s="135"/>
      <c r="E226" s="135"/>
      <c r="F226" s="135"/>
      <c r="G226" s="135"/>
    </row>
    <row r="227" spans="1:7" s="98" customFormat="1" ht="12.75" customHeight="1" hidden="1">
      <c r="A227" s="97"/>
      <c r="B227" s="100"/>
      <c r="C227" s="133"/>
      <c r="D227" s="135"/>
      <c r="E227" s="135"/>
      <c r="F227" s="135"/>
      <c r="G227" s="135"/>
    </row>
    <row r="228" s="98" customFormat="1" ht="12.75" customHeight="1" hidden="1">
      <c r="B228" s="136"/>
    </row>
    <row r="229" s="98" customFormat="1" ht="12.75" customHeight="1">
      <c r="B229" s="136"/>
    </row>
    <row r="230" s="98" customFormat="1" ht="12.75" customHeight="1" thickBot="1">
      <c r="B230" s="136"/>
    </row>
    <row r="231" spans="1:7" s="98" customFormat="1" ht="15.75">
      <c r="A231" s="215" t="s">
        <v>25</v>
      </c>
      <c r="B231" s="216" t="s">
        <v>26</v>
      </c>
      <c r="C231" s="215" t="s">
        <v>28</v>
      </c>
      <c r="D231" s="215" t="s">
        <v>29</v>
      </c>
      <c r="E231" s="215" t="s">
        <v>29</v>
      </c>
      <c r="F231" s="209" t="s">
        <v>8</v>
      </c>
      <c r="G231" s="215" t="s">
        <v>307</v>
      </c>
    </row>
    <row r="232" spans="1:7" s="98" customFormat="1" ht="15.75" customHeight="1" thickBot="1">
      <c r="A232" s="217"/>
      <c r="B232" s="218"/>
      <c r="C232" s="219"/>
      <c r="D232" s="220" t="s">
        <v>31</v>
      </c>
      <c r="E232" s="220" t="s">
        <v>32</v>
      </c>
      <c r="F232" s="213" t="s">
        <v>33</v>
      </c>
      <c r="G232" s="220" t="s">
        <v>308</v>
      </c>
    </row>
    <row r="233" spans="1:7" s="98" customFormat="1" ht="16.5" thickTop="1">
      <c r="A233" s="118">
        <v>80</v>
      </c>
      <c r="B233" s="118"/>
      <c r="C233" s="120" t="s">
        <v>187</v>
      </c>
      <c r="D233" s="57"/>
      <c r="E233" s="57"/>
      <c r="F233" s="57"/>
      <c r="G233" s="57"/>
    </row>
    <row r="234" spans="1:7" s="98" customFormat="1" ht="15.75">
      <c r="A234" s="69"/>
      <c r="B234" s="156"/>
      <c r="C234" s="69"/>
      <c r="D234" s="71"/>
      <c r="E234" s="71"/>
      <c r="F234" s="71"/>
      <c r="G234" s="71"/>
    </row>
    <row r="235" spans="1:7" s="98" customFormat="1" ht="15">
      <c r="A235" s="36"/>
      <c r="B235" s="157">
        <v>2219</v>
      </c>
      <c r="C235" s="36" t="s">
        <v>463</v>
      </c>
      <c r="D235" s="73">
        <v>3370</v>
      </c>
      <c r="E235" s="22">
        <v>3520</v>
      </c>
      <c r="F235" s="22">
        <v>2832.6</v>
      </c>
      <c r="G235" s="71">
        <f>(F235/E235)*100</f>
        <v>80.4715909090909</v>
      </c>
    </row>
    <row r="236" spans="1:82" s="97" customFormat="1" ht="15">
      <c r="A236" s="36"/>
      <c r="B236" s="157">
        <v>2221</v>
      </c>
      <c r="C236" s="36" t="s">
        <v>464</v>
      </c>
      <c r="D236" s="73">
        <v>17086</v>
      </c>
      <c r="E236" s="22">
        <v>17086</v>
      </c>
      <c r="F236" s="22">
        <v>13119.3</v>
      </c>
      <c r="G236" s="71">
        <f>(F236/E236)*100</f>
        <v>76.78391665691208</v>
      </c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</row>
    <row r="237" spans="1:82" s="97" customFormat="1" ht="15">
      <c r="A237" s="36"/>
      <c r="B237" s="157">
        <v>2232</v>
      </c>
      <c r="C237" s="36" t="s">
        <v>465</v>
      </c>
      <c r="D237" s="22">
        <v>260</v>
      </c>
      <c r="E237" s="22">
        <v>260</v>
      </c>
      <c r="F237" s="22">
        <v>0</v>
      </c>
      <c r="G237" s="71">
        <f>(F237/E237)*100</f>
        <v>0</v>
      </c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</row>
    <row r="238" spans="1:82" s="97" customFormat="1" ht="15">
      <c r="A238" s="144"/>
      <c r="B238" s="145">
        <v>6171</v>
      </c>
      <c r="C238" s="144" t="s">
        <v>466</v>
      </c>
      <c r="D238" s="71">
        <v>0</v>
      </c>
      <c r="E238" s="71">
        <v>0</v>
      </c>
      <c r="F238" s="71">
        <v>27</v>
      </c>
      <c r="G238" s="71" t="e">
        <f>(F238/E238)*100</f>
        <v>#DIV/0!</v>
      </c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</row>
    <row r="239" spans="1:82" s="97" customFormat="1" ht="15.75" thickBot="1">
      <c r="A239" s="161"/>
      <c r="B239" s="160"/>
      <c r="C239" s="161"/>
      <c r="D239" s="128"/>
      <c r="E239" s="128"/>
      <c r="F239" s="128"/>
      <c r="G239" s="12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</row>
    <row r="240" spans="1:82" s="97" customFormat="1" ht="18.75" customHeight="1" thickBot="1" thickTop="1">
      <c r="A240" s="129"/>
      <c r="B240" s="169"/>
      <c r="C240" s="168" t="s">
        <v>467</v>
      </c>
      <c r="D240" s="132">
        <f>SUM(D235:D238)</f>
        <v>20716</v>
      </c>
      <c r="E240" s="132">
        <f>SUM(E235:E238)</f>
        <v>20866</v>
      </c>
      <c r="F240" s="132">
        <f>SUM(F235:F238)</f>
        <v>15978.9</v>
      </c>
      <c r="G240" s="132">
        <f>(F240/E240)*100</f>
        <v>76.57864468513371</v>
      </c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</row>
    <row r="241" spans="2:82" s="97" customFormat="1" ht="15.75" customHeight="1">
      <c r="B241" s="100"/>
      <c r="C241" s="133"/>
      <c r="D241" s="135"/>
      <c r="E241" s="135"/>
      <c r="F241" s="135"/>
      <c r="G241" s="135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</row>
    <row r="242" spans="2:82" s="97" customFormat="1" ht="12.75" customHeight="1" hidden="1">
      <c r="B242" s="100"/>
      <c r="C242" s="133"/>
      <c r="D242" s="135"/>
      <c r="E242" s="135"/>
      <c r="F242" s="135"/>
      <c r="G242" s="135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</row>
    <row r="243" spans="2:82" s="97" customFormat="1" ht="12.75" customHeight="1" hidden="1">
      <c r="B243" s="100"/>
      <c r="C243" s="133"/>
      <c r="D243" s="135"/>
      <c r="E243" s="135"/>
      <c r="F243" s="135"/>
      <c r="G243" s="135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</row>
    <row r="244" spans="2:82" s="97" customFormat="1" ht="12.75" customHeight="1" hidden="1">
      <c r="B244" s="100"/>
      <c r="C244" s="133"/>
      <c r="D244" s="135"/>
      <c r="E244" s="135"/>
      <c r="F244" s="135"/>
      <c r="G244" s="135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</row>
    <row r="245" spans="2:82" s="97" customFormat="1" ht="12.75" customHeight="1" hidden="1">
      <c r="B245" s="100"/>
      <c r="C245" s="133"/>
      <c r="D245" s="135"/>
      <c r="E245" s="135"/>
      <c r="F245" s="135"/>
      <c r="G245" s="135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</row>
    <row r="246" spans="2:82" s="97" customFormat="1" ht="12.75" customHeight="1" hidden="1">
      <c r="B246" s="100"/>
      <c r="C246" s="133"/>
      <c r="D246" s="135"/>
      <c r="E246" s="135"/>
      <c r="F246" s="135"/>
      <c r="G246" s="135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</row>
    <row r="247" spans="2:82" s="97" customFormat="1" ht="12.75" customHeight="1" hidden="1">
      <c r="B247" s="100"/>
      <c r="C247" s="133"/>
      <c r="D247" s="135"/>
      <c r="E247" s="135"/>
      <c r="F247" s="135"/>
      <c r="G247" s="135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</row>
    <row r="248" spans="2:82" s="97" customFormat="1" ht="12.75" customHeight="1" hidden="1">
      <c r="B248" s="100"/>
      <c r="C248" s="133"/>
      <c r="D248" s="135"/>
      <c r="E248" s="135"/>
      <c r="F248" s="135"/>
      <c r="G248" s="135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</row>
    <row r="249" spans="2:82" s="97" customFormat="1" ht="15.75" customHeight="1">
      <c r="B249" s="100"/>
      <c r="C249" s="133"/>
      <c r="D249" s="135"/>
      <c r="E249" s="107"/>
      <c r="F249" s="107"/>
      <c r="G249" s="107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</row>
    <row r="250" spans="2:82" s="97" customFormat="1" ht="15.75" customHeight="1">
      <c r="B250" s="100"/>
      <c r="C250" s="133"/>
      <c r="D250" s="135"/>
      <c r="E250" s="135"/>
      <c r="F250" s="135"/>
      <c r="G250" s="135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</row>
    <row r="251" spans="2:82" s="97" customFormat="1" ht="15.75" customHeight="1" thickBot="1">
      <c r="B251" s="100"/>
      <c r="C251" s="133"/>
      <c r="D251" s="135"/>
      <c r="E251" s="114"/>
      <c r="F251" s="114"/>
      <c r="G251" s="114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</row>
    <row r="252" spans="1:82" s="97" customFormat="1" ht="15.75" customHeight="1">
      <c r="A252" s="215" t="s">
        <v>25</v>
      </c>
      <c r="B252" s="216" t="s">
        <v>26</v>
      </c>
      <c r="C252" s="215" t="s">
        <v>28</v>
      </c>
      <c r="D252" s="215" t="s">
        <v>29</v>
      </c>
      <c r="E252" s="215" t="s">
        <v>29</v>
      </c>
      <c r="F252" s="209" t="s">
        <v>8</v>
      </c>
      <c r="G252" s="215" t="s">
        <v>307</v>
      </c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</row>
    <row r="253" spans="1:7" s="98" customFormat="1" ht="15.75" customHeight="1" thickBot="1">
      <c r="A253" s="217"/>
      <c r="B253" s="218"/>
      <c r="C253" s="219"/>
      <c r="D253" s="220" t="s">
        <v>31</v>
      </c>
      <c r="E253" s="220" t="s">
        <v>32</v>
      </c>
      <c r="F253" s="213" t="s">
        <v>33</v>
      </c>
      <c r="G253" s="220" t="s">
        <v>308</v>
      </c>
    </row>
    <row r="254" spans="1:7" s="98" customFormat="1" ht="16.5" thickTop="1">
      <c r="A254" s="118">
        <v>90</v>
      </c>
      <c r="B254" s="118"/>
      <c r="C254" s="120" t="s">
        <v>199</v>
      </c>
      <c r="D254" s="57"/>
      <c r="E254" s="57"/>
      <c r="F254" s="57"/>
      <c r="G254" s="57"/>
    </row>
    <row r="255" spans="1:7" s="98" customFormat="1" ht="15.75">
      <c r="A255" s="69"/>
      <c r="B255" s="156"/>
      <c r="C255" s="69"/>
      <c r="D255" s="71"/>
      <c r="E255" s="71"/>
      <c r="F255" s="71"/>
      <c r="G255" s="71"/>
    </row>
    <row r="256" spans="1:7" s="98" customFormat="1" ht="15">
      <c r="A256" s="36"/>
      <c r="B256" s="157">
        <v>5311</v>
      </c>
      <c r="C256" s="36" t="s">
        <v>468</v>
      </c>
      <c r="D256" s="71">
        <v>18862</v>
      </c>
      <c r="E256" s="71">
        <v>19963</v>
      </c>
      <c r="F256" s="71">
        <v>13837.1</v>
      </c>
      <c r="G256" s="71">
        <f>(F256/E256)*100</f>
        <v>69.3137304012423</v>
      </c>
    </row>
    <row r="257" spans="1:7" s="98" customFormat="1" ht="16.5" thickBot="1">
      <c r="A257" s="159"/>
      <c r="B257" s="159"/>
      <c r="C257" s="170"/>
      <c r="D257" s="171"/>
      <c r="E257" s="171"/>
      <c r="F257" s="171"/>
      <c r="G257" s="171"/>
    </row>
    <row r="258" spans="1:7" s="98" customFormat="1" ht="18.75" customHeight="1" thickBot="1" thickTop="1">
      <c r="A258" s="129"/>
      <c r="B258" s="169"/>
      <c r="C258" s="168" t="s">
        <v>469</v>
      </c>
      <c r="D258" s="132">
        <f>SUM(D254:D257)</f>
        <v>18862</v>
      </c>
      <c r="E258" s="132">
        <f>SUM(E254:E257)</f>
        <v>19963</v>
      </c>
      <c r="F258" s="132">
        <f>SUM(F254:F257)</f>
        <v>13837.1</v>
      </c>
      <c r="G258" s="132">
        <f>(F258/E258)*100</f>
        <v>69.3137304012423</v>
      </c>
    </row>
    <row r="259" spans="1:7" s="98" customFormat="1" ht="15.75" customHeight="1">
      <c r="A259" s="97"/>
      <c r="B259" s="100"/>
      <c r="C259" s="133"/>
      <c r="D259" s="135"/>
      <c r="E259" s="135"/>
      <c r="F259" s="135"/>
      <c r="G259" s="135"/>
    </row>
    <row r="260" spans="1:7" s="98" customFormat="1" ht="15.75" customHeight="1" thickBot="1">
      <c r="A260" s="97"/>
      <c r="B260" s="100"/>
      <c r="C260" s="133"/>
      <c r="D260" s="135"/>
      <c r="E260" s="135"/>
      <c r="F260" s="135"/>
      <c r="G260" s="135"/>
    </row>
    <row r="261" spans="1:82" s="97" customFormat="1" ht="15.75" customHeight="1">
      <c r="A261" s="215" t="s">
        <v>25</v>
      </c>
      <c r="B261" s="216" t="s">
        <v>26</v>
      </c>
      <c r="C261" s="215" t="s">
        <v>28</v>
      </c>
      <c r="D261" s="215" t="s">
        <v>29</v>
      </c>
      <c r="E261" s="215" t="s">
        <v>29</v>
      </c>
      <c r="F261" s="209" t="s">
        <v>8</v>
      </c>
      <c r="G261" s="215" t="s">
        <v>307</v>
      </c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</row>
    <row r="262" spans="1:7" s="98" customFormat="1" ht="15.75" customHeight="1" thickBot="1">
      <c r="A262" s="217"/>
      <c r="B262" s="218"/>
      <c r="C262" s="219"/>
      <c r="D262" s="220" t="s">
        <v>31</v>
      </c>
      <c r="E262" s="220" t="s">
        <v>32</v>
      </c>
      <c r="F262" s="213" t="s">
        <v>33</v>
      </c>
      <c r="G262" s="220" t="s">
        <v>308</v>
      </c>
    </row>
    <row r="263" spans="1:7" s="98" customFormat="1" ht="16.5" thickTop="1">
      <c r="A263" s="118">
        <v>100</v>
      </c>
      <c r="B263" s="118"/>
      <c r="C263" s="69" t="s">
        <v>207</v>
      </c>
      <c r="D263" s="57"/>
      <c r="E263" s="57"/>
      <c r="F263" s="57"/>
      <c r="G263" s="57"/>
    </row>
    <row r="264" spans="1:7" s="98" customFormat="1" ht="15.75">
      <c r="A264" s="69"/>
      <c r="B264" s="156"/>
      <c r="C264" s="69"/>
      <c r="D264" s="71"/>
      <c r="E264" s="71"/>
      <c r="F264" s="71"/>
      <c r="G264" s="71"/>
    </row>
    <row r="265" spans="1:7" s="98" customFormat="1" ht="15.75">
      <c r="A265" s="69"/>
      <c r="B265" s="156"/>
      <c r="C265" s="69"/>
      <c r="D265" s="71"/>
      <c r="E265" s="71"/>
      <c r="F265" s="71"/>
      <c r="G265" s="71"/>
    </row>
    <row r="266" spans="1:7" s="98" customFormat="1" ht="15.75">
      <c r="A266" s="156"/>
      <c r="B266" s="222">
        <v>2169</v>
      </c>
      <c r="C266" s="21" t="s">
        <v>470</v>
      </c>
      <c r="D266" s="22">
        <v>300</v>
      </c>
      <c r="E266" s="22">
        <v>300</v>
      </c>
      <c r="F266" s="22">
        <v>14.5</v>
      </c>
      <c r="G266" s="71">
        <f>(F266/E266)*100</f>
        <v>4.833333333333333</v>
      </c>
    </row>
    <row r="267" spans="1:7" s="98" customFormat="1" ht="16.5" thickBot="1">
      <c r="A267" s="159"/>
      <c r="B267" s="223"/>
      <c r="C267" s="77"/>
      <c r="D267" s="78"/>
      <c r="E267" s="78"/>
      <c r="F267" s="78"/>
      <c r="G267" s="71"/>
    </row>
    <row r="268" spans="1:7" s="98" customFormat="1" ht="18.75" customHeight="1" thickBot="1" thickTop="1">
      <c r="A268" s="129"/>
      <c r="B268" s="169"/>
      <c r="C268" s="168" t="s">
        <v>471</v>
      </c>
      <c r="D268" s="132">
        <f>SUM(D263:D267)</f>
        <v>300</v>
      </c>
      <c r="E268" s="132">
        <f>SUM(E263:E267)</f>
        <v>300</v>
      </c>
      <c r="F268" s="132">
        <f>SUM(F263:F267)</f>
        <v>14.5</v>
      </c>
      <c r="G268" s="132">
        <f>(F268/E268)*100</f>
        <v>4.833333333333333</v>
      </c>
    </row>
    <row r="269" spans="1:7" s="98" customFormat="1" ht="15.75" customHeight="1">
      <c r="A269" s="97"/>
      <c r="B269" s="100"/>
      <c r="C269" s="133"/>
      <c r="D269" s="135"/>
      <c r="E269" s="135"/>
      <c r="F269" s="135"/>
      <c r="G269" s="135"/>
    </row>
    <row r="270" spans="1:7" s="98" customFormat="1" ht="15.75" customHeight="1">
      <c r="A270" s="97"/>
      <c r="B270" s="100"/>
      <c r="C270" s="133"/>
      <c r="D270" s="135"/>
      <c r="E270" s="135"/>
      <c r="F270" s="135"/>
      <c r="G270" s="135"/>
    </row>
    <row r="271" s="98" customFormat="1" ht="15.75" customHeight="1" thickBot="1">
      <c r="B271" s="136"/>
    </row>
    <row r="272" spans="1:7" s="98" customFormat="1" ht="15.75">
      <c r="A272" s="215" t="s">
        <v>25</v>
      </c>
      <c r="B272" s="216" t="s">
        <v>26</v>
      </c>
      <c r="C272" s="215" t="s">
        <v>28</v>
      </c>
      <c r="D272" s="215" t="s">
        <v>29</v>
      </c>
      <c r="E272" s="215" t="s">
        <v>29</v>
      </c>
      <c r="F272" s="209" t="s">
        <v>8</v>
      </c>
      <c r="G272" s="215" t="s">
        <v>307</v>
      </c>
    </row>
    <row r="273" spans="1:7" s="98" customFormat="1" ht="15.75" customHeight="1" thickBot="1">
      <c r="A273" s="217"/>
      <c r="B273" s="218"/>
      <c r="C273" s="219"/>
      <c r="D273" s="220" t="s">
        <v>31</v>
      </c>
      <c r="E273" s="220" t="s">
        <v>32</v>
      </c>
      <c r="F273" s="213" t="s">
        <v>33</v>
      </c>
      <c r="G273" s="220" t="s">
        <v>308</v>
      </c>
    </row>
    <row r="274" spans="1:7" s="98" customFormat="1" ht="16.5" thickTop="1">
      <c r="A274" s="118">
        <v>110</v>
      </c>
      <c r="B274" s="118"/>
      <c r="C274" s="120" t="s">
        <v>212</v>
      </c>
      <c r="D274" s="57"/>
      <c r="E274" s="57"/>
      <c r="F274" s="57"/>
      <c r="G274" s="57"/>
    </row>
    <row r="275" spans="1:7" s="98" customFormat="1" ht="15" customHeight="1">
      <c r="A275" s="69"/>
      <c r="B275" s="156"/>
      <c r="C275" s="69"/>
      <c r="D275" s="71"/>
      <c r="E275" s="71"/>
      <c r="F275" s="71"/>
      <c r="G275" s="71"/>
    </row>
    <row r="276" spans="1:7" s="98" customFormat="1" ht="15" customHeight="1">
      <c r="A276" s="36"/>
      <c r="B276" s="157">
        <v>6171</v>
      </c>
      <c r="C276" s="36" t="s">
        <v>472</v>
      </c>
      <c r="D276" s="71">
        <v>0</v>
      </c>
      <c r="E276" s="71">
        <v>0</v>
      </c>
      <c r="F276" s="158">
        <v>5</v>
      </c>
      <c r="G276" s="71" t="e">
        <f aca="true" t="shared" si="6" ref="G276:G281">(F276/E276)*100</f>
        <v>#DIV/0!</v>
      </c>
    </row>
    <row r="277" spans="1:7" s="98" customFormat="1" ht="15">
      <c r="A277" s="36"/>
      <c r="B277" s="157">
        <v>6310</v>
      </c>
      <c r="C277" s="36" t="s">
        <v>473</v>
      </c>
      <c r="D277" s="71">
        <v>1910</v>
      </c>
      <c r="E277" s="71">
        <v>2210.1</v>
      </c>
      <c r="F277" s="71">
        <v>1500.9</v>
      </c>
      <c r="G277" s="71">
        <f t="shared" si="6"/>
        <v>67.91095425546357</v>
      </c>
    </row>
    <row r="278" spans="1:7" s="98" customFormat="1" ht="15">
      <c r="A278" s="36"/>
      <c r="B278" s="157">
        <v>6399</v>
      </c>
      <c r="C278" s="36" t="s">
        <v>474</v>
      </c>
      <c r="D278" s="71">
        <v>13411</v>
      </c>
      <c r="E278" s="71">
        <v>12536.1</v>
      </c>
      <c r="F278" s="71">
        <v>10794.9</v>
      </c>
      <c r="G278" s="71">
        <f t="shared" si="6"/>
        <v>86.1105128389212</v>
      </c>
    </row>
    <row r="279" spans="1:7" s="98" customFormat="1" ht="15">
      <c r="A279" s="36"/>
      <c r="B279" s="157">
        <v>6402</v>
      </c>
      <c r="C279" s="36" t="s">
        <v>475</v>
      </c>
      <c r="D279" s="71">
        <v>0</v>
      </c>
      <c r="E279" s="71">
        <v>981.2</v>
      </c>
      <c r="F279" s="71">
        <v>981.1</v>
      </c>
      <c r="G279" s="71">
        <f t="shared" si="6"/>
        <v>99.98980839788014</v>
      </c>
    </row>
    <row r="280" spans="1:7" s="98" customFormat="1" ht="15">
      <c r="A280" s="36"/>
      <c r="B280" s="157">
        <v>6409</v>
      </c>
      <c r="C280" s="36" t="s">
        <v>476</v>
      </c>
      <c r="D280" s="71">
        <v>0</v>
      </c>
      <c r="E280" s="71">
        <v>0</v>
      </c>
      <c r="F280" s="71">
        <v>4</v>
      </c>
      <c r="G280" s="71" t="e">
        <f t="shared" si="6"/>
        <v>#DIV/0!</v>
      </c>
    </row>
    <row r="281" spans="1:7" s="103" customFormat="1" ht="20.25" customHeight="1">
      <c r="A281" s="120"/>
      <c r="B281" s="118">
        <v>6409</v>
      </c>
      <c r="C281" s="120" t="s">
        <v>477</v>
      </c>
      <c r="D281" s="172">
        <v>0</v>
      </c>
      <c r="E281" s="172">
        <v>0</v>
      </c>
      <c r="F281" s="139">
        <v>0</v>
      </c>
      <c r="G281" s="71" t="e">
        <f t="shared" si="6"/>
        <v>#DIV/0!</v>
      </c>
    </row>
    <row r="282" spans="1:7" s="98" customFormat="1" ht="15.75" thickBot="1">
      <c r="A282" s="161"/>
      <c r="B282" s="160"/>
      <c r="C282" s="161"/>
      <c r="D282" s="173"/>
      <c r="E282" s="173"/>
      <c r="F282" s="173"/>
      <c r="G282" s="173"/>
    </row>
    <row r="283" spans="1:7" s="98" customFormat="1" ht="18.75" customHeight="1" thickBot="1" thickTop="1">
      <c r="A283" s="129"/>
      <c r="B283" s="169"/>
      <c r="C283" s="168" t="s">
        <v>478</v>
      </c>
      <c r="D283" s="174">
        <f>SUM(D275:D281)</f>
        <v>15321</v>
      </c>
      <c r="E283" s="174">
        <f>SUM(E275:E281)</f>
        <v>15727.400000000001</v>
      </c>
      <c r="F283" s="174">
        <f>SUM(F275:F281)</f>
        <v>13285.9</v>
      </c>
      <c r="G283" s="132">
        <f>(F283/E283)*100</f>
        <v>84.47613718732912</v>
      </c>
    </row>
    <row r="284" spans="1:7" s="98" customFormat="1" ht="18.75" customHeight="1">
      <c r="A284" s="97"/>
      <c r="B284" s="100"/>
      <c r="C284" s="133"/>
      <c r="D284" s="135"/>
      <c r="E284" s="135"/>
      <c r="F284" s="135"/>
      <c r="G284" s="135"/>
    </row>
    <row r="285" spans="1:7" s="98" customFormat="1" ht="13.5" customHeight="1" hidden="1">
      <c r="A285" s="97"/>
      <c r="B285" s="100"/>
      <c r="C285" s="133"/>
      <c r="D285" s="135"/>
      <c r="E285" s="135"/>
      <c r="F285" s="135"/>
      <c r="G285" s="135"/>
    </row>
    <row r="286" spans="1:7" s="98" customFormat="1" ht="13.5" customHeight="1" hidden="1">
      <c r="A286" s="97"/>
      <c r="B286" s="100"/>
      <c r="C286" s="133"/>
      <c r="D286" s="135"/>
      <c r="E286" s="135"/>
      <c r="F286" s="135"/>
      <c r="G286" s="135"/>
    </row>
    <row r="287" spans="1:7" s="98" customFormat="1" ht="13.5" customHeight="1" hidden="1">
      <c r="A287" s="97"/>
      <c r="B287" s="100"/>
      <c r="C287" s="133"/>
      <c r="D287" s="135"/>
      <c r="E287" s="135"/>
      <c r="F287" s="135"/>
      <c r="G287" s="135"/>
    </row>
    <row r="288" spans="1:7" s="98" customFormat="1" ht="13.5" customHeight="1" hidden="1">
      <c r="A288" s="97"/>
      <c r="B288" s="100"/>
      <c r="C288" s="133"/>
      <c r="D288" s="135"/>
      <c r="E288" s="135"/>
      <c r="F288" s="135"/>
      <c r="G288" s="135"/>
    </row>
    <row r="289" spans="1:7" s="98" customFormat="1" ht="13.5" customHeight="1" hidden="1">
      <c r="A289" s="97"/>
      <c r="B289" s="100"/>
      <c r="C289" s="133"/>
      <c r="D289" s="135"/>
      <c r="E289" s="135"/>
      <c r="F289" s="135"/>
      <c r="G289" s="135"/>
    </row>
    <row r="290" spans="1:7" s="98" customFormat="1" ht="16.5" customHeight="1">
      <c r="A290" s="97"/>
      <c r="B290" s="100"/>
      <c r="C290" s="133"/>
      <c r="D290" s="135"/>
      <c r="E290" s="135"/>
      <c r="F290" s="135"/>
      <c r="G290" s="135"/>
    </row>
    <row r="291" spans="1:7" s="98" customFormat="1" ht="15.75" customHeight="1" thickBot="1">
      <c r="A291" s="97"/>
      <c r="B291" s="100"/>
      <c r="C291" s="133"/>
      <c r="D291" s="135"/>
      <c r="E291" s="135"/>
      <c r="F291" s="135"/>
      <c r="G291" s="135"/>
    </row>
    <row r="292" spans="1:7" s="98" customFormat="1" ht="15.75">
      <c r="A292" s="215" t="s">
        <v>25</v>
      </c>
      <c r="B292" s="216" t="s">
        <v>26</v>
      </c>
      <c r="C292" s="215" t="s">
        <v>28</v>
      </c>
      <c r="D292" s="215" t="s">
        <v>29</v>
      </c>
      <c r="E292" s="215" t="s">
        <v>29</v>
      </c>
      <c r="F292" s="209" t="s">
        <v>8</v>
      </c>
      <c r="G292" s="215" t="s">
        <v>307</v>
      </c>
    </row>
    <row r="293" spans="1:7" s="98" customFormat="1" ht="15.75" customHeight="1" thickBot="1">
      <c r="A293" s="217"/>
      <c r="B293" s="218"/>
      <c r="C293" s="219"/>
      <c r="D293" s="220" t="s">
        <v>31</v>
      </c>
      <c r="E293" s="220" t="s">
        <v>32</v>
      </c>
      <c r="F293" s="213" t="s">
        <v>33</v>
      </c>
      <c r="G293" s="220" t="s">
        <v>308</v>
      </c>
    </row>
    <row r="294" spans="1:7" s="98" customFormat="1" ht="16.5" thickTop="1">
      <c r="A294" s="118">
        <v>120</v>
      </c>
      <c r="B294" s="118"/>
      <c r="C294" s="55" t="s">
        <v>239</v>
      </c>
      <c r="D294" s="57"/>
      <c r="E294" s="57"/>
      <c r="F294" s="57"/>
      <c r="G294" s="57"/>
    </row>
    <row r="295" spans="1:7" s="98" customFormat="1" ht="15" customHeight="1">
      <c r="A295" s="69"/>
      <c r="B295" s="156"/>
      <c r="C295" s="55"/>
      <c r="D295" s="71"/>
      <c r="E295" s="71"/>
      <c r="F295" s="71"/>
      <c r="G295" s="71"/>
    </row>
    <row r="296" spans="1:7" s="98" customFormat="1" ht="15" customHeight="1">
      <c r="A296" s="69"/>
      <c r="B296" s="156"/>
      <c r="C296" s="55"/>
      <c r="D296" s="158"/>
      <c r="E296" s="158"/>
      <c r="F296" s="158"/>
      <c r="G296" s="71"/>
    </row>
    <row r="297" spans="1:7" s="98" customFormat="1" ht="15.75">
      <c r="A297" s="69"/>
      <c r="B297" s="157">
        <v>2310</v>
      </c>
      <c r="C297" s="36" t="s">
        <v>479</v>
      </c>
      <c r="D297" s="158">
        <v>30</v>
      </c>
      <c r="E297" s="158">
        <v>30</v>
      </c>
      <c r="F297" s="158">
        <v>0</v>
      </c>
      <c r="G297" s="71">
        <f aca="true" t="shared" si="7" ref="G297:G306">(F297/E297)*100</f>
        <v>0</v>
      </c>
    </row>
    <row r="298" spans="1:7" s="98" customFormat="1" ht="15.75" customHeight="1" hidden="1">
      <c r="A298" s="69"/>
      <c r="B298" s="157">
        <v>2321</v>
      </c>
      <c r="C298" s="36" t="s">
        <v>480</v>
      </c>
      <c r="D298" s="158">
        <v>0</v>
      </c>
      <c r="E298" s="158"/>
      <c r="F298" s="158"/>
      <c r="G298" s="71" t="e">
        <f t="shared" si="7"/>
        <v>#DIV/0!</v>
      </c>
    </row>
    <row r="299" spans="1:7" s="98" customFormat="1" ht="15">
      <c r="A299" s="36"/>
      <c r="B299" s="157">
        <v>3612</v>
      </c>
      <c r="C299" s="36" t="s">
        <v>481</v>
      </c>
      <c r="D299" s="71">
        <v>11384</v>
      </c>
      <c r="E299" s="71">
        <v>11124.5</v>
      </c>
      <c r="F299" s="71">
        <v>7485.1</v>
      </c>
      <c r="G299" s="71">
        <f t="shared" si="7"/>
        <v>67.28482178974336</v>
      </c>
    </row>
    <row r="300" spans="1:7" s="98" customFormat="1" ht="15">
      <c r="A300" s="36"/>
      <c r="B300" s="157">
        <v>3613</v>
      </c>
      <c r="C300" s="36" t="s">
        <v>482</v>
      </c>
      <c r="D300" s="71">
        <v>7086</v>
      </c>
      <c r="E300" s="71">
        <v>7530</v>
      </c>
      <c r="F300" s="71">
        <v>4749.3</v>
      </c>
      <c r="G300" s="71">
        <f t="shared" si="7"/>
        <v>63.07171314741036</v>
      </c>
    </row>
    <row r="301" spans="1:7" s="98" customFormat="1" ht="15">
      <c r="A301" s="36"/>
      <c r="B301" s="157">
        <v>3632</v>
      </c>
      <c r="C301" s="36" t="s">
        <v>356</v>
      </c>
      <c r="D301" s="71">
        <v>792</v>
      </c>
      <c r="E301" s="71">
        <v>1372</v>
      </c>
      <c r="F301" s="71">
        <v>749.3</v>
      </c>
      <c r="G301" s="71">
        <f t="shared" si="7"/>
        <v>54.613702623906704</v>
      </c>
    </row>
    <row r="302" spans="1:7" s="98" customFormat="1" ht="15">
      <c r="A302" s="36"/>
      <c r="B302" s="157">
        <v>3634</v>
      </c>
      <c r="C302" s="36" t="s">
        <v>483</v>
      </c>
      <c r="D302" s="71">
        <v>800</v>
      </c>
      <c r="E302" s="71">
        <v>800</v>
      </c>
      <c r="F302" s="71">
        <v>521.5</v>
      </c>
      <c r="G302" s="71">
        <f t="shared" si="7"/>
        <v>65.1875</v>
      </c>
    </row>
    <row r="303" spans="1:7" s="98" customFormat="1" ht="15">
      <c r="A303" s="36"/>
      <c r="B303" s="157">
        <v>3639</v>
      </c>
      <c r="C303" s="36" t="s">
        <v>484</v>
      </c>
      <c r="D303" s="71">
        <f>12685.2-12112</f>
        <v>573.2000000000007</v>
      </c>
      <c r="E303" s="71">
        <f>14591.3-11052.6</f>
        <v>3538.699999999999</v>
      </c>
      <c r="F303" s="71">
        <f>4162.3-3158.8</f>
        <v>1003.5</v>
      </c>
      <c r="G303" s="71">
        <f t="shared" si="7"/>
        <v>28.357871534744405</v>
      </c>
    </row>
    <row r="304" spans="1:7" s="98" customFormat="1" ht="15" customHeight="1" hidden="1">
      <c r="A304" s="36"/>
      <c r="B304" s="157">
        <v>3639</v>
      </c>
      <c r="C304" s="36" t="s">
        <v>485</v>
      </c>
      <c r="D304" s="71">
        <v>0</v>
      </c>
      <c r="E304" s="71"/>
      <c r="F304" s="71"/>
      <c r="G304" s="71" t="e">
        <f t="shared" si="7"/>
        <v>#DIV/0!</v>
      </c>
    </row>
    <row r="305" spans="1:7" s="98" customFormat="1" ht="15">
      <c r="A305" s="36"/>
      <c r="B305" s="157">
        <v>3639</v>
      </c>
      <c r="C305" s="36" t="s">
        <v>486</v>
      </c>
      <c r="D305" s="71">
        <v>12112</v>
      </c>
      <c r="E305" s="71">
        <v>11052.6</v>
      </c>
      <c r="F305" s="71">
        <v>3158.8</v>
      </c>
      <c r="G305" s="71">
        <f t="shared" si="7"/>
        <v>28.579700703906774</v>
      </c>
    </row>
    <row r="306" spans="1:7" s="98" customFormat="1" ht="15">
      <c r="A306" s="36"/>
      <c r="B306" s="157">
        <v>3729</v>
      </c>
      <c r="C306" s="36" t="s">
        <v>487</v>
      </c>
      <c r="D306" s="71">
        <v>1</v>
      </c>
      <c r="E306" s="71">
        <v>1</v>
      </c>
      <c r="F306" s="71">
        <v>0.5</v>
      </c>
      <c r="G306" s="71">
        <f t="shared" si="7"/>
        <v>50</v>
      </c>
    </row>
    <row r="307" spans="1:7" s="98" customFormat="1" ht="15" customHeight="1" thickBot="1">
      <c r="A307" s="159"/>
      <c r="B307" s="159"/>
      <c r="C307" s="170"/>
      <c r="D307" s="173"/>
      <c r="E307" s="173"/>
      <c r="F307" s="173"/>
      <c r="G307" s="173"/>
    </row>
    <row r="308" spans="1:7" s="98" customFormat="1" ht="18.75" customHeight="1" thickBot="1" thickTop="1">
      <c r="A308" s="152"/>
      <c r="B308" s="169"/>
      <c r="C308" s="168" t="s">
        <v>488</v>
      </c>
      <c r="D308" s="174">
        <f>SUM(D297:D306)</f>
        <v>32778.2</v>
      </c>
      <c r="E308" s="174">
        <f>SUM(E297:E306)</f>
        <v>35448.799999999996</v>
      </c>
      <c r="F308" s="174">
        <f>SUM(F297:F306)</f>
        <v>17668</v>
      </c>
      <c r="G308" s="132">
        <f>(F308/E308)*100</f>
        <v>49.84089729412562</v>
      </c>
    </row>
    <row r="309" spans="1:7" s="98" customFormat="1" ht="15.75" customHeight="1">
      <c r="A309" s="97"/>
      <c r="B309" s="100"/>
      <c r="C309" s="133"/>
      <c r="D309" s="135"/>
      <c r="E309" s="135"/>
      <c r="F309" s="135"/>
      <c r="G309" s="135"/>
    </row>
    <row r="310" spans="1:7" s="98" customFormat="1" ht="15.75" customHeight="1">
      <c r="A310" s="97"/>
      <c r="B310" s="100"/>
      <c r="C310" s="133"/>
      <c r="D310" s="135"/>
      <c r="E310" s="135"/>
      <c r="F310" s="135"/>
      <c r="G310" s="135"/>
    </row>
    <row r="311" s="98" customFormat="1" ht="15.75" customHeight="1" thickBot="1"/>
    <row r="312" spans="1:7" s="98" customFormat="1" ht="15.75">
      <c r="A312" s="215" t="s">
        <v>25</v>
      </c>
      <c r="B312" s="216" t="s">
        <v>26</v>
      </c>
      <c r="C312" s="215" t="s">
        <v>28</v>
      </c>
      <c r="D312" s="215" t="s">
        <v>29</v>
      </c>
      <c r="E312" s="215" t="s">
        <v>29</v>
      </c>
      <c r="F312" s="209" t="s">
        <v>8</v>
      </c>
      <c r="G312" s="215" t="s">
        <v>307</v>
      </c>
    </row>
    <row r="313" spans="1:7" s="98" customFormat="1" ht="15.75" customHeight="1" thickBot="1">
      <c r="A313" s="217"/>
      <c r="B313" s="218"/>
      <c r="C313" s="219"/>
      <c r="D313" s="220" t="s">
        <v>31</v>
      </c>
      <c r="E313" s="220" t="s">
        <v>32</v>
      </c>
      <c r="F313" s="213" t="s">
        <v>33</v>
      </c>
      <c r="G313" s="220" t="s">
        <v>308</v>
      </c>
    </row>
    <row r="314" spans="1:7" s="98" customFormat="1" ht="38.25" customHeight="1" thickBot="1" thickTop="1">
      <c r="A314" s="168"/>
      <c r="B314" s="175"/>
      <c r="C314" s="176" t="s">
        <v>489</v>
      </c>
      <c r="D314" s="177">
        <f>SUM(D34,D137,D162,D193,D223,D240,D258,D268,D283,D308,)</f>
        <v>492538.5</v>
      </c>
      <c r="E314" s="177">
        <f>SUM(E34,E137,E162,E193,E223,E240,E258,E268,E283,E308)</f>
        <v>536896.2000000001</v>
      </c>
      <c r="F314" s="177">
        <f>SUM(F34,F137,F162,F193,F223,F240,F258,F268,F283,F308,)</f>
        <v>293567</v>
      </c>
      <c r="G314" s="178">
        <f>(F314/E314)*100</f>
        <v>54.67853935267188</v>
      </c>
    </row>
    <row r="315" spans="1:7" ht="15">
      <c r="A315" s="32"/>
      <c r="B315" s="32"/>
      <c r="C315" s="32"/>
      <c r="D315" s="32"/>
      <c r="E315" s="32"/>
      <c r="F315" s="32"/>
      <c r="G315" s="32"/>
    </row>
    <row r="316" spans="1:7" ht="15" customHeight="1">
      <c r="A316" s="32"/>
      <c r="B316" s="32"/>
      <c r="C316" s="32"/>
      <c r="D316" s="32"/>
      <c r="E316" s="32"/>
      <c r="F316" s="32"/>
      <c r="G316" s="32"/>
    </row>
    <row r="317" spans="1:7" ht="15" customHeight="1">
      <c r="A317" s="32"/>
      <c r="B317" s="32"/>
      <c r="C317" s="32"/>
      <c r="D317" s="32"/>
      <c r="E317" s="32"/>
      <c r="F317" s="32"/>
      <c r="G317" s="32"/>
    </row>
    <row r="318" spans="1:7" ht="15" customHeight="1">
      <c r="A318" s="32"/>
      <c r="B318" s="32"/>
      <c r="C318" s="32"/>
      <c r="D318" s="32"/>
      <c r="E318" s="32"/>
      <c r="F318" s="32"/>
      <c r="G318" s="32"/>
    </row>
    <row r="319" spans="1:7" ht="15">
      <c r="A319" s="32"/>
      <c r="B319" s="32"/>
      <c r="C319" s="32"/>
      <c r="D319" s="32"/>
      <c r="E319" s="32"/>
      <c r="F319" s="32"/>
      <c r="G319" s="32"/>
    </row>
    <row r="320" spans="1:7" ht="15">
      <c r="A320" s="32"/>
      <c r="B320" s="32"/>
      <c r="C320" s="32"/>
      <c r="D320" s="32"/>
      <c r="E320" s="32"/>
      <c r="F320" s="32"/>
      <c r="G320" s="32"/>
    </row>
    <row r="321" spans="1:7" ht="15">
      <c r="A321" s="32"/>
      <c r="B321" s="32"/>
      <c r="C321" s="33"/>
      <c r="D321" s="32"/>
      <c r="E321" s="32"/>
      <c r="F321" s="32"/>
      <c r="G321" s="32"/>
    </row>
    <row r="322" spans="1:7" ht="15">
      <c r="A322" s="32"/>
      <c r="B322" s="32"/>
      <c r="C322" s="32"/>
      <c r="D322" s="32"/>
      <c r="E322" s="32"/>
      <c r="F322" s="32"/>
      <c r="G322" s="32"/>
    </row>
    <row r="323" spans="1:7" ht="15">
      <c r="A323" s="32"/>
      <c r="B323" s="32"/>
      <c r="C323" s="32"/>
      <c r="D323" s="32"/>
      <c r="E323" s="32"/>
      <c r="F323" s="32"/>
      <c r="G323" s="32"/>
    </row>
    <row r="324" spans="1:7" ht="15">
      <c r="A324" s="32"/>
      <c r="B324" s="32"/>
      <c r="C324" s="32"/>
      <c r="D324" s="32"/>
      <c r="E324" s="32"/>
      <c r="F324" s="32"/>
      <c r="G324" s="32"/>
    </row>
    <row r="325" spans="1:7" ht="15">
      <c r="A325" s="32"/>
      <c r="B325" s="32"/>
      <c r="C325" s="32"/>
      <c r="D325" s="32"/>
      <c r="E325" s="32"/>
      <c r="F325" s="32"/>
      <c r="G325" s="32"/>
    </row>
    <row r="326" spans="1:7" ht="15">
      <c r="A326" s="32"/>
      <c r="B326" s="32"/>
      <c r="C326" s="32"/>
      <c r="D326" s="32"/>
      <c r="E326" s="32"/>
      <c r="F326" s="32"/>
      <c r="G326" s="32"/>
    </row>
    <row r="327" spans="1:7" ht="15">
      <c r="A327" s="32"/>
      <c r="B327" s="32"/>
      <c r="C327" s="32"/>
      <c r="D327" s="32"/>
      <c r="E327" s="32"/>
      <c r="F327" s="32"/>
      <c r="G327" s="32"/>
    </row>
    <row r="328" spans="1:7" ht="15">
      <c r="A328" s="32"/>
      <c r="B328" s="32"/>
      <c r="C328" s="32"/>
      <c r="D328" s="32"/>
      <c r="E328" s="32"/>
      <c r="F328" s="32"/>
      <c r="G328" s="32"/>
    </row>
    <row r="329" spans="1:7" ht="15">
      <c r="A329" s="32"/>
      <c r="B329" s="32"/>
      <c r="C329" s="32"/>
      <c r="D329" s="32"/>
      <c r="E329" s="32"/>
      <c r="F329" s="32"/>
      <c r="G329" s="32"/>
    </row>
    <row r="330" spans="1:7" ht="15">
      <c r="A330" s="32"/>
      <c r="B330" s="32"/>
      <c r="C330" s="32"/>
      <c r="D330" s="32"/>
      <c r="E330" s="32"/>
      <c r="F330" s="32"/>
      <c r="G330" s="32"/>
    </row>
    <row r="331" spans="1:7" ht="15">
      <c r="A331" s="32"/>
      <c r="B331" s="32"/>
      <c r="C331" s="32"/>
      <c r="D331" s="32"/>
      <c r="E331" s="32"/>
      <c r="F331" s="32"/>
      <c r="G331" s="32"/>
    </row>
    <row r="332" spans="1:7" ht="15">
      <c r="A332" s="32"/>
      <c r="B332" s="32"/>
      <c r="C332" s="32"/>
      <c r="D332" s="32"/>
      <c r="E332" s="32"/>
      <c r="F332" s="32"/>
      <c r="G332" s="32"/>
    </row>
    <row r="333" spans="1:7" ht="15">
      <c r="A333" s="32"/>
      <c r="B333" s="32"/>
      <c r="C333" s="32"/>
      <c r="D333" s="32"/>
      <c r="E333" s="32"/>
      <c r="F333" s="32"/>
      <c r="G333" s="32"/>
    </row>
    <row r="334" spans="1:7" ht="15">
      <c r="A334" s="32"/>
      <c r="B334" s="32"/>
      <c r="C334" s="32"/>
      <c r="D334" s="32"/>
      <c r="E334" s="32"/>
      <c r="F334" s="32"/>
      <c r="G334" s="32"/>
    </row>
    <row r="335" spans="1:7" ht="15">
      <c r="A335" s="32"/>
      <c r="B335" s="32"/>
      <c r="C335" s="32"/>
      <c r="D335" s="32"/>
      <c r="E335" s="32"/>
      <c r="F335" s="32"/>
      <c r="G335" s="32"/>
    </row>
  </sheetData>
  <sheetProtection/>
  <printOptions/>
  <pageMargins left="0.39" right="0.25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5.8515625" style="108" customWidth="1"/>
    <col min="2" max="2" width="12.8515625" style="108" customWidth="1"/>
    <col min="3" max="7" width="0" style="108" hidden="1" customWidth="1"/>
    <col min="8" max="19" width="9.140625" style="108" customWidth="1"/>
    <col min="20" max="22" width="0" style="108" hidden="1" customWidth="1"/>
    <col min="23" max="16384" width="9.140625" style="108" customWidth="1"/>
  </cols>
  <sheetData>
    <row r="1" spans="1:17" s="262" customFormat="1" ht="18.75">
      <c r="A1" s="851" t="s">
        <v>490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</row>
    <row r="2" spans="1:24" s="265" customFormat="1" ht="18.75" thickBot="1">
      <c r="A2" s="263"/>
      <c r="B2" s="264"/>
      <c r="E2" s="266"/>
      <c r="J2" s="267"/>
      <c r="R2" s="850" t="s">
        <v>491</v>
      </c>
      <c r="S2" s="850"/>
      <c r="T2" s="850"/>
      <c r="U2" s="850"/>
      <c r="V2" s="850"/>
      <c r="W2" s="850"/>
      <c r="X2" s="850"/>
    </row>
    <row r="3" spans="1:10" s="265" customFormat="1" ht="16.5" thickBot="1">
      <c r="A3" s="268" t="s">
        <v>492</v>
      </c>
      <c r="B3" s="269" t="s">
        <v>493</v>
      </c>
      <c r="C3" s="270"/>
      <c r="D3" s="270"/>
      <c r="E3" s="271"/>
      <c r="F3" s="270"/>
      <c r="G3" s="272"/>
      <c r="H3" s="224"/>
      <c r="I3" s="224"/>
      <c r="J3" s="273"/>
    </row>
    <row r="4" spans="1:10" s="265" customFormat="1" ht="13.5" thickBot="1">
      <c r="A4" s="267" t="s">
        <v>494</v>
      </c>
      <c r="E4" s="266"/>
      <c r="J4" s="267"/>
    </row>
    <row r="5" spans="1:24" s="265" customFormat="1" ht="15">
      <c r="A5" s="274"/>
      <c r="B5" s="275"/>
      <c r="C5" s="275"/>
      <c r="D5" s="275"/>
      <c r="E5" s="276"/>
      <c r="F5" s="275"/>
      <c r="G5" s="277"/>
      <c r="H5" s="275"/>
      <c r="I5" s="275"/>
      <c r="J5" s="278" t="s">
        <v>29</v>
      </c>
      <c r="K5" s="279"/>
      <c r="L5" s="280"/>
      <c r="M5" s="280"/>
      <c r="N5" s="280"/>
      <c r="O5" s="280"/>
      <c r="P5" s="281" t="s">
        <v>495</v>
      </c>
      <c r="Q5" s="280"/>
      <c r="R5" s="280"/>
      <c r="S5" s="280"/>
      <c r="T5" s="280"/>
      <c r="U5" s="280"/>
      <c r="V5" s="280"/>
      <c r="W5" s="278" t="s">
        <v>496</v>
      </c>
      <c r="X5" s="282" t="s">
        <v>497</v>
      </c>
    </row>
    <row r="6" spans="1:24" s="265" customFormat="1" ht="13.5" thickBot="1">
      <c r="A6" s="283" t="s">
        <v>27</v>
      </c>
      <c r="B6" s="284" t="s">
        <v>498</v>
      </c>
      <c r="C6" s="284" t="s">
        <v>499</v>
      </c>
      <c r="D6" s="284" t="s">
        <v>500</v>
      </c>
      <c r="E6" s="284" t="s">
        <v>501</v>
      </c>
      <c r="F6" s="285" t="s">
        <v>502</v>
      </c>
      <c r="G6" s="286" t="s">
        <v>503</v>
      </c>
      <c r="H6" s="284" t="s">
        <v>504</v>
      </c>
      <c r="I6" s="284" t="s">
        <v>505</v>
      </c>
      <c r="J6" s="287">
        <v>2013</v>
      </c>
      <c r="K6" s="286" t="s">
        <v>506</v>
      </c>
      <c r="L6" s="288" t="s">
        <v>507</v>
      </c>
      <c r="M6" s="288" t="s">
        <v>508</v>
      </c>
      <c r="N6" s="288" t="s">
        <v>509</v>
      </c>
      <c r="O6" s="288" t="s">
        <v>510</v>
      </c>
      <c r="P6" s="288" t="s">
        <v>511</v>
      </c>
      <c r="Q6" s="288" t="s">
        <v>512</v>
      </c>
      <c r="R6" s="288" t="s">
        <v>513</v>
      </c>
      <c r="S6" s="288" t="s">
        <v>514</v>
      </c>
      <c r="T6" s="288" t="s">
        <v>515</v>
      </c>
      <c r="U6" s="288" t="s">
        <v>516</v>
      </c>
      <c r="V6" s="286" t="s">
        <v>517</v>
      </c>
      <c r="W6" s="287" t="s">
        <v>518</v>
      </c>
      <c r="X6" s="289" t="s">
        <v>519</v>
      </c>
    </row>
    <row r="7" spans="1:24" s="265" customFormat="1" ht="12.75">
      <c r="A7" s="290" t="s">
        <v>520</v>
      </c>
      <c r="B7" s="291"/>
      <c r="C7" s="292">
        <v>104</v>
      </c>
      <c r="D7" s="292">
        <v>104</v>
      </c>
      <c r="E7" s="225"/>
      <c r="F7" s="226">
        <v>142</v>
      </c>
      <c r="G7" s="227">
        <v>139</v>
      </c>
      <c r="H7" s="228">
        <v>133</v>
      </c>
      <c r="I7" s="228">
        <v>139</v>
      </c>
      <c r="J7" s="293">
        <v>139</v>
      </c>
      <c r="K7" s="294">
        <v>141</v>
      </c>
      <c r="L7" s="295">
        <v>142</v>
      </c>
      <c r="M7" s="295">
        <v>141</v>
      </c>
      <c r="N7" s="295">
        <v>144</v>
      </c>
      <c r="O7" s="229">
        <v>146</v>
      </c>
      <c r="P7" s="229">
        <v>147</v>
      </c>
      <c r="Q7" s="229">
        <v>147</v>
      </c>
      <c r="R7" s="229">
        <v>146</v>
      </c>
      <c r="S7" s="229">
        <v>146</v>
      </c>
      <c r="T7" s="229"/>
      <c r="U7" s="229"/>
      <c r="V7" s="229"/>
      <c r="W7" s="296" t="s">
        <v>521</v>
      </c>
      <c r="X7" s="297" t="s">
        <v>521</v>
      </c>
    </row>
    <row r="8" spans="1:24" s="265" customFormat="1" ht="13.5" thickBot="1">
      <c r="A8" s="298" t="s">
        <v>522</v>
      </c>
      <c r="B8" s="299"/>
      <c r="C8" s="300">
        <v>101</v>
      </c>
      <c r="D8" s="300">
        <v>104</v>
      </c>
      <c r="E8" s="301"/>
      <c r="F8" s="300">
        <v>139</v>
      </c>
      <c r="G8" s="302">
        <v>137</v>
      </c>
      <c r="H8" s="303">
        <v>129</v>
      </c>
      <c r="I8" s="303">
        <v>138</v>
      </c>
      <c r="J8" s="304">
        <v>138</v>
      </c>
      <c r="K8" s="305">
        <v>138</v>
      </c>
      <c r="L8" s="306">
        <v>138</v>
      </c>
      <c r="M8" s="307">
        <v>138</v>
      </c>
      <c r="N8" s="307">
        <v>141</v>
      </c>
      <c r="O8" s="306">
        <v>142.75</v>
      </c>
      <c r="P8" s="306">
        <v>144.25</v>
      </c>
      <c r="Q8" s="306">
        <v>145.3</v>
      </c>
      <c r="R8" s="306">
        <v>144.3</v>
      </c>
      <c r="S8" s="306">
        <v>143.25</v>
      </c>
      <c r="T8" s="306"/>
      <c r="U8" s="306"/>
      <c r="V8" s="305"/>
      <c r="W8" s="308"/>
      <c r="X8" s="309" t="s">
        <v>521</v>
      </c>
    </row>
    <row r="9" spans="1:24" s="265" customFormat="1" ht="12.75">
      <c r="A9" s="310" t="s">
        <v>523</v>
      </c>
      <c r="B9" s="311" t="s">
        <v>524</v>
      </c>
      <c r="C9" s="312">
        <v>37915</v>
      </c>
      <c r="D9" s="312">
        <v>39774</v>
      </c>
      <c r="E9" s="313" t="s">
        <v>525</v>
      </c>
      <c r="F9" s="314">
        <v>22515</v>
      </c>
      <c r="G9" s="315">
        <v>23549</v>
      </c>
      <c r="H9" s="316">
        <v>24376</v>
      </c>
      <c r="I9" s="317">
        <v>24327</v>
      </c>
      <c r="J9" s="318" t="s">
        <v>521</v>
      </c>
      <c r="K9" s="319">
        <v>24338</v>
      </c>
      <c r="L9" s="320">
        <v>24382</v>
      </c>
      <c r="M9" s="321">
        <v>24417</v>
      </c>
      <c r="N9" s="321">
        <v>24472</v>
      </c>
      <c r="O9" s="320">
        <v>24657</v>
      </c>
      <c r="P9" s="320">
        <v>24688</v>
      </c>
      <c r="Q9" s="322">
        <v>24702</v>
      </c>
      <c r="R9" s="322">
        <v>24797</v>
      </c>
      <c r="S9" s="322">
        <v>25310</v>
      </c>
      <c r="T9" s="322"/>
      <c r="U9" s="322"/>
      <c r="V9" s="323"/>
      <c r="W9" s="324" t="s">
        <v>521</v>
      </c>
      <c r="X9" s="325" t="s">
        <v>521</v>
      </c>
    </row>
    <row r="10" spans="1:24" s="265" customFormat="1" ht="12.75">
      <c r="A10" s="326" t="s">
        <v>526</v>
      </c>
      <c r="B10" s="327" t="s">
        <v>527</v>
      </c>
      <c r="C10" s="328">
        <v>-16164</v>
      </c>
      <c r="D10" s="328">
        <v>-17825</v>
      </c>
      <c r="E10" s="313" t="s">
        <v>528</v>
      </c>
      <c r="F10" s="314">
        <v>-20194</v>
      </c>
      <c r="G10" s="315">
        <v>-21592</v>
      </c>
      <c r="H10" s="316">
        <v>-22365</v>
      </c>
      <c r="I10" s="316">
        <v>22791</v>
      </c>
      <c r="J10" s="329" t="s">
        <v>521</v>
      </c>
      <c r="K10" s="330">
        <v>22800</v>
      </c>
      <c r="L10" s="331">
        <v>22835</v>
      </c>
      <c r="M10" s="332">
        <v>22933</v>
      </c>
      <c r="N10" s="332">
        <v>23024</v>
      </c>
      <c r="O10" s="320">
        <v>23127</v>
      </c>
      <c r="P10" s="320">
        <v>23194</v>
      </c>
      <c r="Q10" s="322">
        <v>23244</v>
      </c>
      <c r="R10" s="322">
        <v>23379</v>
      </c>
      <c r="S10" s="322">
        <v>23489</v>
      </c>
      <c r="T10" s="322"/>
      <c r="U10" s="322"/>
      <c r="V10" s="323"/>
      <c r="W10" s="324" t="s">
        <v>521</v>
      </c>
      <c r="X10" s="325" t="s">
        <v>521</v>
      </c>
    </row>
    <row r="11" spans="1:24" s="265" customFormat="1" ht="12.75">
      <c r="A11" s="326" t="s">
        <v>529</v>
      </c>
      <c r="B11" s="327" t="s">
        <v>530</v>
      </c>
      <c r="C11" s="328">
        <v>604</v>
      </c>
      <c r="D11" s="328">
        <v>619</v>
      </c>
      <c r="E11" s="313" t="s">
        <v>531</v>
      </c>
      <c r="F11" s="314">
        <v>856</v>
      </c>
      <c r="G11" s="315">
        <v>965</v>
      </c>
      <c r="H11" s="316">
        <v>754</v>
      </c>
      <c r="I11" s="316">
        <v>666</v>
      </c>
      <c r="J11" s="329" t="s">
        <v>521</v>
      </c>
      <c r="K11" s="330">
        <v>700</v>
      </c>
      <c r="L11" s="331">
        <v>576</v>
      </c>
      <c r="M11" s="332">
        <v>633</v>
      </c>
      <c r="N11" s="332">
        <v>659</v>
      </c>
      <c r="O11" s="320">
        <v>659</v>
      </c>
      <c r="P11" s="320">
        <v>644</v>
      </c>
      <c r="Q11" s="322">
        <v>688</v>
      </c>
      <c r="R11" s="322">
        <v>677</v>
      </c>
      <c r="S11" s="322">
        <v>551</v>
      </c>
      <c r="T11" s="322"/>
      <c r="U11" s="322"/>
      <c r="V11" s="323"/>
      <c r="W11" s="324" t="s">
        <v>521</v>
      </c>
      <c r="X11" s="325" t="s">
        <v>521</v>
      </c>
    </row>
    <row r="12" spans="1:24" s="265" customFormat="1" ht="12.75">
      <c r="A12" s="326" t="s">
        <v>532</v>
      </c>
      <c r="B12" s="327" t="s">
        <v>533</v>
      </c>
      <c r="C12" s="328">
        <v>221</v>
      </c>
      <c r="D12" s="328">
        <v>610</v>
      </c>
      <c r="E12" s="313" t="s">
        <v>521</v>
      </c>
      <c r="F12" s="314">
        <v>920</v>
      </c>
      <c r="G12" s="315">
        <v>975</v>
      </c>
      <c r="H12" s="316">
        <v>1032</v>
      </c>
      <c r="I12" s="316">
        <v>586</v>
      </c>
      <c r="J12" s="329" t="s">
        <v>521</v>
      </c>
      <c r="K12" s="330">
        <v>876</v>
      </c>
      <c r="L12" s="331">
        <v>652</v>
      </c>
      <c r="M12" s="332">
        <v>811</v>
      </c>
      <c r="N12" s="332">
        <v>1129</v>
      </c>
      <c r="O12" s="320">
        <v>1182</v>
      </c>
      <c r="P12" s="320">
        <v>1249</v>
      </c>
      <c r="Q12" s="322">
        <v>1198</v>
      </c>
      <c r="R12" s="322">
        <v>1335</v>
      </c>
      <c r="S12" s="322">
        <v>1340</v>
      </c>
      <c r="T12" s="322"/>
      <c r="U12" s="322"/>
      <c r="V12" s="323"/>
      <c r="W12" s="324" t="s">
        <v>521</v>
      </c>
      <c r="X12" s="325" t="s">
        <v>521</v>
      </c>
    </row>
    <row r="13" spans="1:24" s="265" customFormat="1" ht="13.5" thickBot="1">
      <c r="A13" s="290" t="s">
        <v>534</v>
      </c>
      <c r="B13" s="333" t="s">
        <v>535</v>
      </c>
      <c r="C13" s="334">
        <v>2021</v>
      </c>
      <c r="D13" s="334">
        <v>852</v>
      </c>
      <c r="E13" s="230" t="s">
        <v>536</v>
      </c>
      <c r="F13" s="231">
        <v>5418</v>
      </c>
      <c r="G13" s="232">
        <v>3509</v>
      </c>
      <c r="H13" s="233">
        <v>5236</v>
      </c>
      <c r="I13" s="233">
        <v>2489</v>
      </c>
      <c r="J13" s="335" t="s">
        <v>521</v>
      </c>
      <c r="K13" s="336">
        <v>3436</v>
      </c>
      <c r="L13" s="337">
        <v>2553</v>
      </c>
      <c r="M13" s="338">
        <v>866</v>
      </c>
      <c r="N13" s="338">
        <v>4828</v>
      </c>
      <c r="O13" s="337">
        <v>3111</v>
      </c>
      <c r="P13" s="337">
        <v>6159</v>
      </c>
      <c r="Q13" s="234">
        <v>7360</v>
      </c>
      <c r="R13" s="234">
        <v>5702</v>
      </c>
      <c r="S13" s="234">
        <v>4209</v>
      </c>
      <c r="T13" s="234"/>
      <c r="U13" s="234"/>
      <c r="V13" s="234"/>
      <c r="W13" s="339" t="s">
        <v>521</v>
      </c>
      <c r="X13" s="297" t="s">
        <v>521</v>
      </c>
    </row>
    <row r="14" spans="1:24" s="265" customFormat="1" ht="13.5" thickBot="1">
      <c r="A14" s="340" t="s">
        <v>537</v>
      </c>
      <c r="B14" s="341"/>
      <c r="C14" s="342">
        <v>24618</v>
      </c>
      <c r="D14" s="342">
        <v>24087</v>
      </c>
      <c r="E14" s="343"/>
      <c r="F14" s="344">
        <v>9516</v>
      </c>
      <c r="G14" s="345">
        <v>9516</v>
      </c>
      <c r="H14" s="344">
        <v>9034</v>
      </c>
      <c r="I14" s="344">
        <v>5277</v>
      </c>
      <c r="J14" s="346" t="s">
        <v>521</v>
      </c>
      <c r="K14" s="347">
        <v>6584</v>
      </c>
      <c r="L14" s="348">
        <v>5332</v>
      </c>
      <c r="M14" s="349">
        <v>3794</v>
      </c>
      <c r="N14" s="349">
        <v>8064</v>
      </c>
      <c r="O14" s="348">
        <v>6481</v>
      </c>
      <c r="P14" s="348">
        <v>9547</v>
      </c>
      <c r="Q14" s="350">
        <v>10703</v>
      </c>
      <c r="R14" s="350">
        <v>9132</v>
      </c>
      <c r="S14" s="350">
        <v>7921</v>
      </c>
      <c r="T14" s="350"/>
      <c r="U14" s="350"/>
      <c r="V14" s="351"/>
      <c r="W14" s="346" t="s">
        <v>521</v>
      </c>
      <c r="X14" s="352" t="s">
        <v>521</v>
      </c>
    </row>
    <row r="15" spans="1:24" s="265" customFormat="1" ht="12.75">
      <c r="A15" s="290" t="s">
        <v>538</v>
      </c>
      <c r="B15" s="311" t="s">
        <v>539</v>
      </c>
      <c r="C15" s="312">
        <v>7043</v>
      </c>
      <c r="D15" s="312">
        <v>7240</v>
      </c>
      <c r="E15" s="230">
        <v>401</v>
      </c>
      <c r="F15" s="231">
        <v>2330</v>
      </c>
      <c r="G15" s="232">
        <v>1966</v>
      </c>
      <c r="H15" s="233">
        <v>2011</v>
      </c>
      <c r="I15" s="233">
        <v>1536</v>
      </c>
      <c r="J15" s="318" t="s">
        <v>521</v>
      </c>
      <c r="K15" s="336">
        <v>1571</v>
      </c>
      <c r="L15" s="337">
        <v>2101</v>
      </c>
      <c r="M15" s="338">
        <v>1484</v>
      </c>
      <c r="N15" s="338">
        <v>1448</v>
      </c>
      <c r="O15" s="337">
        <v>1530</v>
      </c>
      <c r="P15" s="337">
        <v>1494</v>
      </c>
      <c r="Q15" s="234">
        <v>1457</v>
      </c>
      <c r="R15" s="234">
        <v>1418</v>
      </c>
      <c r="S15" s="234">
        <v>1713</v>
      </c>
      <c r="T15" s="234"/>
      <c r="U15" s="234"/>
      <c r="V15" s="234"/>
      <c r="W15" s="339" t="s">
        <v>521</v>
      </c>
      <c r="X15" s="297" t="s">
        <v>521</v>
      </c>
    </row>
    <row r="16" spans="1:24" s="265" customFormat="1" ht="12.75">
      <c r="A16" s="326" t="s">
        <v>540</v>
      </c>
      <c r="B16" s="327" t="s">
        <v>541</v>
      </c>
      <c r="C16" s="328">
        <v>1001</v>
      </c>
      <c r="D16" s="328">
        <v>820</v>
      </c>
      <c r="E16" s="313" t="s">
        <v>542</v>
      </c>
      <c r="F16" s="314">
        <v>1130</v>
      </c>
      <c r="G16" s="315">
        <v>1207</v>
      </c>
      <c r="H16" s="316">
        <v>1401</v>
      </c>
      <c r="I16" s="316">
        <v>1388</v>
      </c>
      <c r="J16" s="329" t="s">
        <v>521</v>
      </c>
      <c r="K16" s="319">
        <v>1332</v>
      </c>
      <c r="L16" s="320">
        <v>1256</v>
      </c>
      <c r="M16" s="321">
        <v>1575</v>
      </c>
      <c r="N16" s="321">
        <v>1652</v>
      </c>
      <c r="O16" s="320">
        <v>1561</v>
      </c>
      <c r="P16" s="320">
        <v>1664</v>
      </c>
      <c r="Q16" s="322">
        <v>1704</v>
      </c>
      <c r="R16" s="322">
        <v>1754</v>
      </c>
      <c r="S16" s="322">
        <v>1389</v>
      </c>
      <c r="T16" s="322"/>
      <c r="U16" s="322"/>
      <c r="V16" s="323"/>
      <c r="W16" s="324" t="s">
        <v>521</v>
      </c>
      <c r="X16" s="325" t="s">
        <v>521</v>
      </c>
    </row>
    <row r="17" spans="1:24" s="265" customFormat="1" ht="12.75">
      <c r="A17" s="326" t="s">
        <v>543</v>
      </c>
      <c r="B17" s="327" t="s">
        <v>544</v>
      </c>
      <c r="C17" s="328">
        <v>14718</v>
      </c>
      <c r="D17" s="328">
        <v>14718</v>
      </c>
      <c r="E17" s="313" t="s">
        <v>521</v>
      </c>
      <c r="F17" s="314">
        <v>0</v>
      </c>
      <c r="G17" s="315">
        <v>0</v>
      </c>
      <c r="H17" s="316">
        <v>0</v>
      </c>
      <c r="I17" s="316">
        <v>0</v>
      </c>
      <c r="J17" s="329" t="s">
        <v>521</v>
      </c>
      <c r="K17" s="330">
        <v>0</v>
      </c>
      <c r="L17" s="331">
        <v>0</v>
      </c>
      <c r="M17" s="332">
        <v>0</v>
      </c>
      <c r="N17" s="332">
        <v>0</v>
      </c>
      <c r="O17" s="320">
        <v>0</v>
      </c>
      <c r="P17" s="320">
        <v>0</v>
      </c>
      <c r="Q17" s="322">
        <v>0</v>
      </c>
      <c r="R17" s="322">
        <v>0</v>
      </c>
      <c r="S17" s="322">
        <v>0</v>
      </c>
      <c r="T17" s="322"/>
      <c r="U17" s="322"/>
      <c r="V17" s="323"/>
      <c r="W17" s="324" t="s">
        <v>521</v>
      </c>
      <c r="X17" s="325" t="s">
        <v>521</v>
      </c>
    </row>
    <row r="18" spans="1:24" s="265" customFormat="1" ht="12.75">
      <c r="A18" s="326" t="s">
        <v>545</v>
      </c>
      <c r="B18" s="327" t="s">
        <v>546</v>
      </c>
      <c r="C18" s="328">
        <v>1758</v>
      </c>
      <c r="D18" s="328">
        <v>1762</v>
      </c>
      <c r="E18" s="313" t="s">
        <v>521</v>
      </c>
      <c r="F18" s="314">
        <v>6031</v>
      </c>
      <c r="G18" s="315">
        <v>4210</v>
      </c>
      <c r="H18" s="316">
        <v>5453</v>
      </c>
      <c r="I18" s="316">
        <v>8278</v>
      </c>
      <c r="J18" s="329" t="s">
        <v>521</v>
      </c>
      <c r="K18" s="330">
        <v>6392</v>
      </c>
      <c r="L18" s="331">
        <v>6101</v>
      </c>
      <c r="M18" s="332">
        <v>4691</v>
      </c>
      <c r="N18" s="332">
        <v>4166</v>
      </c>
      <c r="O18" s="320">
        <v>4390</v>
      </c>
      <c r="P18" s="320">
        <v>4532</v>
      </c>
      <c r="Q18" s="322">
        <v>4511</v>
      </c>
      <c r="R18" s="322">
        <v>4543</v>
      </c>
      <c r="S18" s="322">
        <v>4825</v>
      </c>
      <c r="T18" s="322"/>
      <c r="U18" s="322"/>
      <c r="V18" s="323"/>
      <c r="W18" s="324" t="s">
        <v>521</v>
      </c>
      <c r="X18" s="325" t="s">
        <v>521</v>
      </c>
    </row>
    <row r="19" spans="1:24" s="265" customFormat="1" ht="13.5" thickBot="1">
      <c r="A19" s="298" t="s">
        <v>547</v>
      </c>
      <c r="B19" s="353" t="s">
        <v>548</v>
      </c>
      <c r="C19" s="354">
        <v>0</v>
      </c>
      <c r="D19" s="354">
        <v>0</v>
      </c>
      <c r="E19" s="355" t="s">
        <v>521</v>
      </c>
      <c r="F19" s="314">
        <v>0</v>
      </c>
      <c r="G19" s="315">
        <v>0</v>
      </c>
      <c r="H19" s="316">
        <v>0</v>
      </c>
      <c r="I19" s="356">
        <v>0</v>
      </c>
      <c r="J19" s="357" t="s">
        <v>521</v>
      </c>
      <c r="K19" s="330">
        <v>0</v>
      </c>
      <c r="L19" s="331">
        <v>0</v>
      </c>
      <c r="M19" s="332">
        <v>0</v>
      </c>
      <c r="N19" s="332">
        <v>0</v>
      </c>
      <c r="O19" s="320">
        <v>0</v>
      </c>
      <c r="P19" s="320">
        <v>0</v>
      </c>
      <c r="Q19" s="322">
        <v>0</v>
      </c>
      <c r="R19" s="322">
        <v>0</v>
      </c>
      <c r="S19" s="322">
        <v>0</v>
      </c>
      <c r="T19" s="322"/>
      <c r="U19" s="322"/>
      <c r="V19" s="323"/>
      <c r="W19" s="358" t="s">
        <v>521</v>
      </c>
      <c r="X19" s="359" t="s">
        <v>521</v>
      </c>
    </row>
    <row r="20" spans="1:24" s="265" customFormat="1" ht="15">
      <c r="A20" s="360" t="s">
        <v>549</v>
      </c>
      <c r="B20" s="311" t="s">
        <v>550</v>
      </c>
      <c r="C20" s="312">
        <v>12472</v>
      </c>
      <c r="D20" s="312">
        <v>13728</v>
      </c>
      <c r="E20" s="235" t="s">
        <v>521</v>
      </c>
      <c r="F20" s="361">
        <v>24200</v>
      </c>
      <c r="G20" s="280">
        <v>25027</v>
      </c>
      <c r="H20" s="362">
        <v>26221</v>
      </c>
      <c r="I20" s="362">
        <v>16950</v>
      </c>
      <c r="J20" s="363">
        <v>23487</v>
      </c>
      <c r="K20" s="364">
        <v>2000</v>
      </c>
      <c r="L20" s="365">
        <v>2000</v>
      </c>
      <c r="M20" s="366">
        <v>4200</v>
      </c>
      <c r="N20" s="366">
        <v>6115</v>
      </c>
      <c r="O20" s="366">
        <v>0</v>
      </c>
      <c r="P20" s="366">
        <v>4586</v>
      </c>
      <c r="Q20" s="366">
        <v>2790</v>
      </c>
      <c r="R20" s="366">
        <v>0</v>
      </c>
      <c r="S20" s="366">
        <v>0</v>
      </c>
      <c r="T20" s="366"/>
      <c r="U20" s="366"/>
      <c r="V20" s="367"/>
      <c r="W20" s="368">
        <f>SUM(K20:V20)</f>
        <v>21691</v>
      </c>
      <c r="X20" s="369">
        <f>IF(J20&lt;&gt;0,+W20/J20*100," - - - - -")</f>
        <v>92.35321667305317</v>
      </c>
    </row>
    <row r="21" spans="1:24" s="265" customFormat="1" ht="15">
      <c r="A21" s="326" t="s">
        <v>551</v>
      </c>
      <c r="B21" s="327" t="s">
        <v>552</v>
      </c>
      <c r="C21" s="328">
        <v>0</v>
      </c>
      <c r="D21" s="328">
        <v>0</v>
      </c>
      <c r="E21" s="236" t="s">
        <v>521</v>
      </c>
      <c r="F21" s="314">
        <v>0</v>
      </c>
      <c r="G21" s="315">
        <v>0</v>
      </c>
      <c r="H21" s="316">
        <v>0</v>
      </c>
      <c r="I21" s="316">
        <v>0</v>
      </c>
      <c r="J21" s="370">
        <v>0</v>
      </c>
      <c r="K21" s="371">
        <v>0</v>
      </c>
      <c r="L21" s="37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  <c r="R21" s="322">
        <v>0</v>
      </c>
      <c r="S21" s="322">
        <v>0</v>
      </c>
      <c r="T21" s="322"/>
      <c r="U21" s="322"/>
      <c r="V21" s="323"/>
      <c r="W21" s="373">
        <f aca="true" t="shared" si="0" ref="W21:W43">SUM(K21:V21)</f>
        <v>0</v>
      </c>
      <c r="X21" s="374" t="str">
        <f aca="true" t="shared" si="1" ref="X21:X43">IF(J21&lt;&gt;0,+W21/J21*100," - - - - -")</f>
        <v> - - - - -</v>
      </c>
    </row>
    <row r="22" spans="1:24" s="265" customFormat="1" ht="15.75" thickBot="1">
      <c r="A22" s="298" t="s">
        <v>553</v>
      </c>
      <c r="B22" s="353" t="s">
        <v>552</v>
      </c>
      <c r="C22" s="354">
        <v>0</v>
      </c>
      <c r="D22" s="354">
        <v>1215</v>
      </c>
      <c r="E22" s="237">
        <v>672</v>
      </c>
      <c r="F22" s="238">
        <v>7300</v>
      </c>
      <c r="G22" s="232">
        <v>8200</v>
      </c>
      <c r="H22" s="233">
        <v>6200</v>
      </c>
      <c r="I22" s="239">
        <v>12200</v>
      </c>
      <c r="J22" s="375">
        <v>8200</v>
      </c>
      <c r="K22" s="376">
        <v>2000</v>
      </c>
      <c r="L22" s="377">
        <v>2000</v>
      </c>
      <c r="M22" s="234">
        <v>4200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  <c r="S22" s="234">
        <v>0</v>
      </c>
      <c r="T22" s="234"/>
      <c r="U22" s="234"/>
      <c r="V22" s="234"/>
      <c r="W22" s="378">
        <f t="shared" si="0"/>
        <v>8200</v>
      </c>
      <c r="X22" s="379">
        <f t="shared" si="1"/>
        <v>100</v>
      </c>
    </row>
    <row r="23" spans="1:24" s="265" customFormat="1" ht="15.75" thickBot="1">
      <c r="A23" s="310" t="s">
        <v>554</v>
      </c>
      <c r="B23" s="311" t="s">
        <v>555</v>
      </c>
      <c r="C23" s="312">
        <v>6341</v>
      </c>
      <c r="D23" s="312">
        <v>6960</v>
      </c>
      <c r="E23" s="240">
        <v>501</v>
      </c>
      <c r="F23" s="380">
        <v>17004</v>
      </c>
      <c r="G23" s="280">
        <v>13339</v>
      </c>
      <c r="H23" s="362">
        <v>13542</v>
      </c>
      <c r="I23" s="239">
        <v>11081</v>
      </c>
      <c r="J23" s="381">
        <v>8190</v>
      </c>
      <c r="K23" s="382">
        <v>970</v>
      </c>
      <c r="L23" s="365">
        <v>869</v>
      </c>
      <c r="M23" s="365">
        <v>891</v>
      </c>
      <c r="N23" s="365">
        <v>937</v>
      </c>
      <c r="O23" s="365">
        <v>914</v>
      </c>
      <c r="P23" s="365">
        <v>897</v>
      </c>
      <c r="Q23" s="365">
        <v>865</v>
      </c>
      <c r="R23" s="365">
        <v>918</v>
      </c>
      <c r="S23" s="365">
        <v>878</v>
      </c>
      <c r="T23" s="365"/>
      <c r="U23" s="365"/>
      <c r="V23" s="383"/>
      <c r="W23" s="384">
        <f t="shared" si="0"/>
        <v>8139</v>
      </c>
      <c r="X23" s="385">
        <f t="shared" si="1"/>
        <v>99.37728937728937</v>
      </c>
    </row>
    <row r="24" spans="1:24" s="265" customFormat="1" ht="15">
      <c r="A24" s="326" t="s">
        <v>556</v>
      </c>
      <c r="B24" s="327" t="s">
        <v>557</v>
      </c>
      <c r="C24" s="328">
        <v>1745</v>
      </c>
      <c r="D24" s="328">
        <v>2223</v>
      </c>
      <c r="E24" s="241">
        <v>502</v>
      </c>
      <c r="F24" s="386">
        <v>4342</v>
      </c>
      <c r="G24" s="315">
        <v>4564</v>
      </c>
      <c r="H24" s="316">
        <v>4450</v>
      </c>
      <c r="I24" s="387">
        <v>3230</v>
      </c>
      <c r="J24" s="388">
        <v>4720</v>
      </c>
      <c r="K24" s="389">
        <v>82</v>
      </c>
      <c r="L24" s="322">
        <v>613</v>
      </c>
      <c r="M24" s="322">
        <v>1233</v>
      </c>
      <c r="N24" s="322">
        <v>41</v>
      </c>
      <c r="O24" s="322">
        <v>237</v>
      </c>
      <c r="P24" s="322">
        <v>481</v>
      </c>
      <c r="Q24" s="322">
        <v>147</v>
      </c>
      <c r="R24" s="322">
        <v>234</v>
      </c>
      <c r="S24" s="322">
        <v>313</v>
      </c>
      <c r="T24" s="322"/>
      <c r="U24" s="322"/>
      <c r="V24" s="390"/>
      <c r="W24" s="384">
        <f t="shared" si="0"/>
        <v>3381</v>
      </c>
      <c r="X24" s="374">
        <f t="shared" si="1"/>
        <v>71.63135593220339</v>
      </c>
    </row>
    <row r="25" spans="1:24" s="265" customFormat="1" ht="15">
      <c r="A25" s="326" t="s">
        <v>558</v>
      </c>
      <c r="B25" s="327" t="s">
        <v>559</v>
      </c>
      <c r="C25" s="328">
        <v>0</v>
      </c>
      <c r="D25" s="328">
        <v>0</v>
      </c>
      <c r="E25" s="241">
        <v>504</v>
      </c>
      <c r="F25" s="386">
        <v>0</v>
      </c>
      <c r="G25" s="315">
        <v>0</v>
      </c>
      <c r="H25" s="316">
        <v>0</v>
      </c>
      <c r="I25" s="391">
        <v>0</v>
      </c>
      <c r="J25" s="388">
        <v>0</v>
      </c>
      <c r="K25" s="389">
        <v>0</v>
      </c>
      <c r="L25" s="322">
        <v>0</v>
      </c>
      <c r="M25" s="322"/>
      <c r="N25" s="322">
        <v>0</v>
      </c>
      <c r="O25" s="322">
        <v>0</v>
      </c>
      <c r="P25" s="322">
        <v>0</v>
      </c>
      <c r="Q25" s="322">
        <v>0</v>
      </c>
      <c r="R25" s="322">
        <v>0</v>
      </c>
      <c r="S25" s="322">
        <v>0</v>
      </c>
      <c r="T25" s="322"/>
      <c r="U25" s="322"/>
      <c r="V25" s="390"/>
      <c r="W25" s="384">
        <f t="shared" si="0"/>
        <v>0</v>
      </c>
      <c r="X25" s="374" t="str">
        <f t="shared" si="1"/>
        <v> - - - - -</v>
      </c>
    </row>
    <row r="26" spans="1:24" s="265" customFormat="1" ht="15">
      <c r="A26" s="326" t="s">
        <v>560</v>
      </c>
      <c r="B26" s="327" t="s">
        <v>561</v>
      </c>
      <c r="C26" s="328">
        <v>428</v>
      </c>
      <c r="D26" s="328">
        <v>253</v>
      </c>
      <c r="E26" s="241">
        <v>511</v>
      </c>
      <c r="F26" s="386">
        <v>3058</v>
      </c>
      <c r="G26" s="315">
        <v>2570</v>
      </c>
      <c r="H26" s="316">
        <v>1878</v>
      </c>
      <c r="I26" s="391">
        <v>298</v>
      </c>
      <c r="J26" s="388">
        <v>385</v>
      </c>
      <c r="K26" s="389">
        <v>35</v>
      </c>
      <c r="L26" s="322">
        <v>19</v>
      </c>
      <c r="M26" s="322">
        <v>18</v>
      </c>
      <c r="N26" s="322">
        <v>18</v>
      </c>
      <c r="O26" s="322">
        <v>59</v>
      </c>
      <c r="P26" s="322">
        <v>29</v>
      </c>
      <c r="Q26" s="322">
        <v>36</v>
      </c>
      <c r="R26" s="322">
        <v>280</v>
      </c>
      <c r="S26" s="322">
        <v>31</v>
      </c>
      <c r="T26" s="322"/>
      <c r="U26" s="322"/>
      <c r="V26" s="390"/>
      <c r="W26" s="384">
        <f t="shared" si="0"/>
        <v>525</v>
      </c>
      <c r="X26" s="374">
        <f t="shared" si="1"/>
        <v>136.36363636363635</v>
      </c>
    </row>
    <row r="27" spans="1:24" s="265" customFormat="1" ht="15">
      <c r="A27" s="326" t="s">
        <v>562</v>
      </c>
      <c r="B27" s="327" t="s">
        <v>563</v>
      </c>
      <c r="C27" s="328">
        <v>1057</v>
      </c>
      <c r="D27" s="328">
        <v>1451</v>
      </c>
      <c r="E27" s="241">
        <v>518</v>
      </c>
      <c r="F27" s="386">
        <v>5195</v>
      </c>
      <c r="G27" s="315">
        <v>5446</v>
      </c>
      <c r="H27" s="316">
        <v>5643</v>
      </c>
      <c r="I27" s="391">
        <v>4031</v>
      </c>
      <c r="J27" s="388">
        <v>3220</v>
      </c>
      <c r="K27" s="389">
        <v>378</v>
      </c>
      <c r="L27" s="322">
        <v>260</v>
      </c>
      <c r="M27" s="322">
        <v>292</v>
      </c>
      <c r="N27" s="322">
        <v>235</v>
      </c>
      <c r="O27" s="322">
        <v>326</v>
      </c>
      <c r="P27" s="322">
        <v>340</v>
      </c>
      <c r="Q27" s="322">
        <v>437</v>
      </c>
      <c r="R27" s="322">
        <v>225</v>
      </c>
      <c r="S27" s="322">
        <v>228</v>
      </c>
      <c r="T27" s="322"/>
      <c r="U27" s="322"/>
      <c r="V27" s="390"/>
      <c r="W27" s="384">
        <f t="shared" si="0"/>
        <v>2721</v>
      </c>
      <c r="X27" s="374">
        <f t="shared" si="1"/>
        <v>84.5031055900621</v>
      </c>
    </row>
    <row r="28" spans="1:24" s="265" customFormat="1" ht="15">
      <c r="A28" s="326" t="s">
        <v>564</v>
      </c>
      <c r="B28" s="392" t="s">
        <v>565</v>
      </c>
      <c r="C28" s="328">
        <v>10408</v>
      </c>
      <c r="D28" s="328">
        <v>11792</v>
      </c>
      <c r="E28" s="241">
        <v>521</v>
      </c>
      <c r="F28" s="386">
        <v>26441</v>
      </c>
      <c r="G28" s="315">
        <v>29754</v>
      </c>
      <c r="H28" s="316">
        <v>30358</v>
      </c>
      <c r="I28" s="391">
        <v>30500</v>
      </c>
      <c r="J28" s="388">
        <v>30400</v>
      </c>
      <c r="K28" s="391">
        <v>2943</v>
      </c>
      <c r="L28" s="322">
        <v>2473</v>
      </c>
      <c r="M28" s="322">
        <v>2477</v>
      </c>
      <c r="N28" s="322">
        <v>2467</v>
      </c>
      <c r="O28" s="322">
        <v>2573</v>
      </c>
      <c r="P28" s="322">
        <v>2434</v>
      </c>
      <c r="Q28" s="322">
        <v>2639</v>
      </c>
      <c r="R28" s="322">
        <v>2555</v>
      </c>
      <c r="S28" s="322">
        <v>2583</v>
      </c>
      <c r="T28" s="322"/>
      <c r="U28" s="322"/>
      <c r="V28" s="390"/>
      <c r="W28" s="384">
        <f t="shared" si="0"/>
        <v>23144</v>
      </c>
      <c r="X28" s="374">
        <f t="shared" si="1"/>
        <v>76.13157894736841</v>
      </c>
    </row>
    <row r="29" spans="1:24" s="265" customFormat="1" ht="15">
      <c r="A29" s="326" t="s">
        <v>566</v>
      </c>
      <c r="B29" s="392" t="s">
        <v>567</v>
      </c>
      <c r="C29" s="328">
        <v>3640</v>
      </c>
      <c r="D29" s="328">
        <v>4174</v>
      </c>
      <c r="E29" s="241" t="s">
        <v>568</v>
      </c>
      <c r="F29" s="386">
        <v>8345</v>
      </c>
      <c r="G29" s="315">
        <v>10022</v>
      </c>
      <c r="H29" s="316">
        <v>10317</v>
      </c>
      <c r="I29" s="391">
        <v>10420</v>
      </c>
      <c r="J29" s="388">
        <v>10290</v>
      </c>
      <c r="K29" s="391">
        <v>953</v>
      </c>
      <c r="L29" s="322">
        <v>825</v>
      </c>
      <c r="M29" s="322">
        <v>826</v>
      </c>
      <c r="N29" s="322">
        <v>823</v>
      </c>
      <c r="O29" s="322">
        <v>863</v>
      </c>
      <c r="P29" s="322">
        <v>936</v>
      </c>
      <c r="Q29" s="322">
        <v>890</v>
      </c>
      <c r="R29" s="322">
        <v>885</v>
      </c>
      <c r="S29" s="322">
        <v>930</v>
      </c>
      <c r="T29" s="322"/>
      <c r="U29" s="322"/>
      <c r="V29" s="390"/>
      <c r="W29" s="384">
        <f t="shared" si="0"/>
        <v>7931</v>
      </c>
      <c r="X29" s="374">
        <f t="shared" si="1"/>
        <v>77.07482993197279</v>
      </c>
    </row>
    <row r="30" spans="1:24" s="265" customFormat="1" ht="15">
      <c r="A30" s="326" t="s">
        <v>569</v>
      </c>
      <c r="B30" s="327" t="s">
        <v>570</v>
      </c>
      <c r="C30" s="328">
        <v>0</v>
      </c>
      <c r="D30" s="328">
        <v>0</v>
      </c>
      <c r="E30" s="241">
        <v>557</v>
      </c>
      <c r="F30" s="386">
        <v>0</v>
      </c>
      <c r="G30" s="315">
        <v>0</v>
      </c>
      <c r="H30" s="316">
        <v>0</v>
      </c>
      <c r="I30" s="391">
        <v>0</v>
      </c>
      <c r="J30" s="388">
        <v>0</v>
      </c>
      <c r="K30" s="389">
        <v>0</v>
      </c>
      <c r="L30" s="322">
        <v>0</v>
      </c>
      <c r="M30" s="322">
        <v>0</v>
      </c>
      <c r="N30" s="322">
        <v>0</v>
      </c>
      <c r="O30" s="322">
        <v>0</v>
      </c>
      <c r="P30" s="322">
        <v>0</v>
      </c>
      <c r="Q30" s="322">
        <v>0</v>
      </c>
      <c r="R30" s="322">
        <v>0</v>
      </c>
      <c r="S30" s="322">
        <v>0</v>
      </c>
      <c r="T30" s="322"/>
      <c r="U30" s="322"/>
      <c r="V30" s="390"/>
      <c r="W30" s="384">
        <f t="shared" si="0"/>
        <v>0</v>
      </c>
      <c r="X30" s="374" t="str">
        <f t="shared" si="1"/>
        <v> - - - - -</v>
      </c>
    </row>
    <row r="31" spans="1:24" s="265" customFormat="1" ht="15">
      <c r="A31" s="326" t="s">
        <v>571</v>
      </c>
      <c r="B31" s="327" t="s">
        <v>572</v>
      </c>
      <c r="C31" s="328">
        <v>1711</v>
      </c>
      <c r="D31" s="328">
        <v>1801</v>
      </c>
      <c r="E31" s="241">
        <v>551</v>
      </c>
      <c r="F31" s="386">
        <v>700</v>
      </c>
      <c r="G31" s="315">
        <v>801</v>
      </c>
      <c r="H31" s="316">
        <v>648</v>
      </c>
      <c r="I31" s="391">
        <v>475</v>
      </c>
      <c r="J31" s="388">
        <v>450</v>
      </c>
      <c r="K31" s="389">
        <v>35</v>
      </c>
      <c r="L31" s="322">
        <v>36</v>
      </c>
      <c r="M31" s="322">
        <v>36</v>
      </c>
      <c r="N31" s="322">
        <v>36</v>
      </c>
      <c r="O31" s="322">
        <v>35</v>
      </c>
      <c r="P31" s="322">
        <v>37</v>
      </c>
      <c r="Q31" s="322">
        <v>37</v>
      </c>
      <c r="R31" s="322">
        <v>39</v>
      </c>
      <c r="S31" s="322">
        <v>37</v>
      </c>
      <c r="T31" s="322"/>
      <c r="U31" s="322"/>
      <c r="V31" s="390"/>
      <c r="W31" s="384">
        <f t="shared" si="0"/>
        <v>328</v>
      </c>
      <c r="X31" s="374">
        <f t="shared" si="1"/>
        <v>72.88888888888889</v>
      </c>
    </row>
    <row r="32" spans="1:24" s="265" customFormat="1" ht="15.75" thickBot="1">
      <c r="A32" s="290" t="s">
        <v>573</v>
      </c>
      <c r="B32" s="333"/>
      <c r="C32" s="334">
        <v>569</v>
      </c>
      <c r="D32" s="334">
        <v>614</v>
      </c>
      <c r="E32" s="242" t="s">
        <v>574</v>
      </c>
      <c r="F32" s="243">
        <v>853</v>
      </c>
      <c r="G32" s="244">
        <v>1120</v>
      </c>
      <c r="H32" s="239">
        <v>863</v>
      </c>
      <c r="I32" s="391">
        <v>1061</v>
      </c>
      <c r="J32" s="393">
        <v>1255</v>
      </c>
      <c r="K32" s="245">
        <v>132</v>
      </c>
      <c r="L32" s="394">
        <v>71</v>
      </c>
      <c r="M32" s="394">
        <v>46</v>
      </c>
      <c r="N32" s="394">
        <v>96</v>
      </c>
      <c r="O32" s="394">
        <v>77</v>
      </c>
      <c r="P32" s="394">
        <v>171</v>
      </c>
      <c r="Q32" s="394">
        <v>47</v>
      </c>
      <c r="R32" s="394">
        <v>107</v>
      </c>
      <c r="S32" s="394">
        <v>139</v>
      </c>
      <c r="T32" s="394"/>
      <c r="U32" s="394"/>
      <c r="V32" s="246"/>
      <c r="W32" s="395">
        <f t="shared" si="0"/>
        <v>886</v>
      </c>
      <c r="X32" s="396">
        <f t="shared" si="1"/>
        <v>70.59760956175299</v>
      </c>
    </row>
    <row r="33" spans="1:24" s="265" customFormat="1" ht="15.75" thickBot="1">
      <c r="A33" s="397" t="s">
        <v>575</v>
      </c>
      <c r="B33" s="398" t="s">
        <v>576</v>
      </c>
      <c r="C33" s="259">
        <v>25899</v>
      </c>
      <c r="D33" s="259">
        <v>29268</v>
      </c>
      <c r="E33" s="399"/>
      <c r="F33" s="400">
        <v>65938</v>
      </c>
      <c r="G33" s="260">
        <v>67288</v>
      </c>
      <c r="H33" s="259">
        <v>67699</v>
      </c>
      <c r="I33" s="259">
        <v>61096</v>
      </c>
      <c r="J33" s="259">
        <f>SUM(J23:J32)</f>
        <v>58910</v>
      </c>
      <c r="K33" s="260">
        <f>SUM(K23:K32)</f>
        <v>5528</v>
      </c>
      <c r="L33" s="401">
        <f>SUM(L23:L32)</f>
        <v>5166</v>
      </c>
      <c r="M33" s="401">
        <f aca="true" t="shared" si="2" ref="M33:V33">SUM(M23:M32)</f>
        <v>5819</v>
      </c>
      <c r="N33" s="401">
        <f t="shared" si="2"/>
        <v>4653</v>
      </c>
      <c r="O33" s="401">
        <f t="shared" si="2"/>
        <v>5084</v>
      </c>
      <c r="P33" s="401">
        <f t="shared" si="2"/>
        <v>5325</v>
      </c>
      <c r="Q33" s="401">
        <f t="shared" si="2"/>
        <v>5098</v>
      </c>
      <c r="R33" s="401">
        <f t="shared" si="2"/>
        <v>5243</v>
      </c>
      <c r="S33" s="401">
        <f t="shared" si="2"/>
        <v>5139</v>
      </c>
      <c r="T33" s="401">
        <f t="shared" si="2"/>
        <v>0</v>
      </c>
      <c r="U33" s="401">
        <f t="shared" si="2"/>
        <v>0</v>
      </c>
      <c r="V33" s="401">
        <f t="shared" si="2"/>
        <v>0</v>
      </c>
      <c r="W33" s="402">
        <f t="shared" si="0"/>
        <v>47055</v>
      </c>
      <c r="X33" s="403">
        <f t="shared" si="1"/>
        <v>79.87608215922593</v>
      </c>
    </row>
    <row r="34" spans="1:24" s="265" customFormat="1" ht="15">
      <c r="A34" s="310" t="s">
        <v>577</v>
      </c>
      <c r="B34" s="311" t="s">
        <v>578</v>
      </c>
      <c r="C34" s="312">
        <v>0</v>
      </c>
      <c r="D34" s="312">
        <v>0</v>
      </c>
      <c r="E34" s="240">
        <v>601</v>
      </c>
      <c r="F34" s="247">
        <v>2899</v>
      </c>
      <c r="G34" s="248">
        <v>2880</v>
      </c>
      <c r="H34" s="249">
        <v>2944</v>
      </c>
      <c r="I34" s="249">
        <v>3214</v>
      </c>
      <c r="J34" s="363">
        <v>2400</v>
      </c>
      <c r="K34" s="371">
        <v>264</v>
      </c>
      <c r="L34" s="322">
        <v>148</v>
      </c>
      <c r="M34" s="322">
        <v>159</v>
      </c>
      <c r="N34" s="322">
        <v>187</v>
      </c>
      <c r="O34" s="322">
        <v>158</v>
      </c>
      <c r="P34" s="322">
        <v>138</v>
      </c>
      <c r="Q34" s="322">
        <v>150</v>
      </c>
      <c r="R34" s="322">
        <v>154</v>
      </c>
      <c r="S34" s="322">
        <v>147</v>
      </c>
      <c r="T34" s="322"/>
      <c r="U34" s="322"/>
      <c r="V34" s="323"/>
      <c r="W34" s="404">
        <f t="shared" si="0"/>
        <v>1505</v>
      </c>
      <c r="X34" s="385">
        <f t="shared" si="1"/>
        <v>62.708333333333336</v>
      </c>
    </row>
    <row r="35" spans="1:24" s="265" customFormat="1" ht="15">
      <c r="A35" s="326" t="s">
        <v>579</v>
      </c>
      <c r="B35" s="327" t="s">
        <v>580</v>
      </c>
      <c r="C35" s="328">
        <v>1190</v>
      </c>
      <c r="D35" s="328">
        <v>1857</v>
      </c>
      <c r="E35" s="241">
        <v>602</v>
      </c>
      <c r="F35" s="250">
        <v>5666</v>
      </c>
      <c r="G35" s="251">
        <v>5586</v>
      </c>
      <c r="H35" s="252">
        <v>6073</v>
      </c>
      <c r="I35" s="249">
        <v>4204</v>
      </c>
      <c r="J35" s="370">
        <v>3800</v>
      </c>
      <c r="K35" s="371">
        <v>361</v>
      </c>
      <c r="L35" s="322">
        <v>318</v>
      </c>
      <c r="M35" s="322">
        <v>384</v>
      </c>
      <c r="N35" s="322">
        <v>353</v>
      </c>
      <c r="O35" s="322">
        <v>353</v>
      </c>
      <c r="P35" s="322">
        <v>351</v>
      </c>
      <c r="Q35" s="322">
        <v>381</v>
      </c>
      <c r="R35" s="322">
        <v>390</v>
      </c>
      <c r="S35" s="322">
        <v>378</v>
      </c>
      <c r="T35" s="322"/>
      <c r="U35" s="322"/>
      <c r="V35" s="323"/>
      <c r="W35" s="373">
        <f t="shared" si="0"/>
        <v>3269</v>
      </c>
      <c r="X35" s="374">
        <f t="shared" si="1"/>
        <v>86.02631578947368</v>
      </c>
    </row>
    <row r="36" spans="1:24" s="265" customFormat="1" ht="15">
      <c r="A36" s="326" t="s">
        <v>581</v>
      </c>
      <c r="B36" s="327" t="s">
        <v>582</v>
      </c>
      <c r="C36" s="328">
        <v>0</v>
      </c>
      <c r="D36" s="328">
        <v>0</v>
      </c>
      <c r="E36" s="241">
        <v>604</v>
      </c>
      <c r="F36" s="250">
        <v>0</v>
      </c>
      <c r="G36" s="251">
        <v>0</v>
      </c>
      <c r="H36" s="252">
        <v>0</v>
      </c>
      <c r="I36" s="252">
        <v>0</v>
      </c>
      <c r="J36" s="370">
        <v>0</v>
      </c>
      <c r="K36" s="371">
        <v>0</v>
      </c>
      <c r="L36" s="322">
        <v>0</v>
      </c>
      <c r="M36" s="322">
        <v>0</v>
      </c>
      <c r="N36" s="322">
        <v>0</v>
      </c>
      <c r="O36" s="322">
        <v>0</v>
      </c>
      <c r="P36" s="322">
        <v>0</v>
      </c>
      <c r="Q36" s="322">
        <v>0</v>
      </c>
      <c r="R36" s="322">
        <v>0</v>
      </c>
      <c r="S36" s="322">
        <v>0</v>
      </c>
      <c r="T36" s="322"/>
      <c r="U36" s="322"/>
      <c r="V36" s="323"/>
      <c r="W36" s="373">
        <f t="shared" si="0"/>
        <v>0</v>
      </c>
      <c r="X36" s="374" t="str">
        <f t="shared" si="1"/>
        <v> - - - - -</v>
      </c>
    </row>
    <row r="37" spans="1:24" s="265" customFormat="1" ht="15">
      <c r="A37" s="326" t="s">
        <v>583</v>
      </c>
      <c r="B37" s="327" t="s">
        <v>584</v>
      </c>
      <c r="C37" s="328">
        <v>12472</v>
      </c>
      <c r="D37" s="328">
        <v>13728</v>
      </c>
      <c r="E37" s="241" t="s">
        <v>585</v>
      </c>
      <c r="F37" s="250">
        <v>24200</v>
      </c>
      <c r="G37" s="251">
        <v>25527</v>
      </c>
      <c r="H37" s="252">
        <v>26221</v>
      </c>
      <c r="I37" s="252">
        <v>12950</v>
      </c>
      <c r="J37" s="370">
        <v>23487</v>
      </c>
      <c r="K37" s="371">
        <v>2000</v>
      </c>
      <c r="L37" s="322">
        <v>2000</v>
      </c>
      <c r="M37" s="322">
        <v>4200</v>
      </c>
      <c r="N37" s="322">
        <v>6115</v>
      </c>
      <c r="O37" s="322">
        <v>0</v>
      </c>
      <c r="P37" s="322">
        <v>4586</v>
      </c>
      <c r="Q37" s="322">
        <v>2790</v>
      </c>
      <c r="R37" s="322">
        <v>0</v>
      </c>
      <c r="S37" s="322">
        <v>0</v>
      </c>
      <c r="T37" s="322"/>
      <c r="U37" s="322"/>
      <c r="V37" s="323"/>
      <c r="W37" s="373">
        <f t="shared" si="0"/>
        <v>21691</v>
      </c>
      <c r="X37" s="374">
        <f t="shared" si="1"/>
        <v>92.35321667305317</v>
      </c>
    </row>
    <row r="38" spans="1:24" s="265" customFormat="1" ht="15.75" thickBot="1">
      <c r="A38" s="290" t="s">
        <v>586</v>
      </c>
      <c r="B38" s="333"/>
      <c r="C38" s="334">
        <v>12330</v>
      </c>
      <c r="D38" s="334">
        <v>13218</v>
      </c>
      <c r="E38" s="242" t="s">
        <v>587</v>
      </c>
      <c r="F38" s="253">
        <v>33197</v>
      </c>
      <c r="G38" s="254">
        <v>33218</v>
      </c>
      <c r="H38" s="255">
        <v>32629</v>
      </c>
      <c r="I38" s="252">
        <v>34803</v>
      </c>
      <c r="J38" s="405">
        <v>35200</v>
      </c>
      <c r="K38" s="256">
        <v>2924</v>
      </c>
      <c r="L38" s="234">
        <v>2840</v>
      </c>
      <c r="M38" s="234">
        <v>2886</v>
      </c>
      <c r="N38" s="234">
        <v>2778</v>
      </c>
      <c r="O38" s="234">
        <v>2928</v>
      </c>
      <c r="P38" s="234">
        <v>2899</v>
      </c>
      <c r="Q38" s="234">
        <v>2952</v>
      </c>
      <c r="R38" s="234">
        <v>3000</v>
      </c>
      <c r="S38" s="234">
        <v>3255</v>
      </c>
      <c r="T38" s="234"/>
      <c r="U38" s="234"/>
      <c r="V38" s="234"/>
      <c r="W38" s="373">
        <f t="shared" si="0"/>
        <v>26462</v>
      </c>
      <c r="X38" s="396">
        <f t="shared" si="1"/>
        <v>75.17613636363636</v>
      </c>
    </row>
    <row r="39" spans="1:24" s="265" customFormat="1" ht="15.75" thickBot="1">
      <c r="A39" s="397" t="s">
        <v>588</v>
      </c>
      <c r="B39" s="398" t="s">
        <v>589</v>
      </c>
      <c r="C39" s="259">
        <v>25992</v>
      </c>
      <c r="D39" s="259">
        <v>28803</v>
      </c>
      <c r="E39" s="399" t="s">
        <v>521</v>
      </c>
      <c r="F39" s="259">
        <v>65962</v>
      </c>
      <c r="G39" s="402">
        <v>65962</v>
      </c>
      <c r="H39" s="259">
        <v>67867</v>
      </c>
      <c r="I39" s="260">
        <v>55171</v>
      </c>
      <c r="J39" s="401">
        <f>SUM(J34:J38)</f>
        <v>64887</v>
      </c>
      <c r="K39" s="401">
        <f>SUM(K34:K38)</f>
        <v>5549</v>
      </c>
      <c r="L39" s="401">
        <f>SUM(L34:L38)</f>
        <v>5306</v>
      </c>
      <c r="M39" s="406">
        <f aca="true" t="shared" si="3" ref="M39:V39">SUM(M34:M38)</f>
        <v>7629</v>
      </c>
      <c r="N39" s="406">
        <f t="shared" si="3"/>
        <v>9433</v>
      </c>
      <c r="O39" s="401">
        <f t="shared" si="3"/>
        <v>3439</v>
      </c>
      <c r="P39" s="401">
        <f t="shared" si="3"/>
        <v>7974</v>
      </c>
      <c r="Q39" s="401">
        <f t="shared" si="3"/>
        <v>6273</v>
      </c>
      <c r="R39" s="401">
        <f t="shared" si="3"/>
        <v>3544</v>
      </c>
      <c r="S39" s="401">
        <f t="shared" si="3"/>
        <v>3780</v>
      </c>
      <c r="T39" s="401">
        <f t="shared" si="3"/>
        <v>0</v>
      </c>
      <c r="U39" s="401">
        <f t="shared" si="3"/>
        <v>0</v>
      </c>
      <c r="V39" s="401">
        <f t="shared" si="3"/>
        <v>0</v>
      </c>
      <c r="W39" s="402">
        <f t="shared" si="0"/>
        <v>52927</v>
      </c>
      <c r="X39" s="403">
        <f t="shared" si="1"/>
        <v>81.56795660147641</v>
      </c>
    </row>
    <row r="40" spans="1:24" s="265" customFormat="1" ht="15.75" thickBot="1">
      <c r="A40" s="290"/>
      <c r="B40" s="231"/>
      <c r="C40" s="407"/>
      <c r="D40" s="407"/>
      <c r="E40" s="257"/>
      <c r="F40" s="258"/>
      <c r="G40" s="258"/>
      <c r="H40" s="258"/>
      <c r="I40" s="258"/>
      <c r="J40" s="259"/>
      <c r="K40" s="408"/>
      <c r="L40" s="409"/>
      <c r="M40" s="410"/>
      <c r="N40" s="410"/>
      <c r="O40" s="409"/>
      <c r="P40" s="409"/>
      <c r="Q40" s="409"/>
      <c r="R40" s="409"/>
      <c r="S40" s="409"/>
      <c r="T40" s="409"/>
      <c r="U40" s="409"/>
      <c r="V40" s="411"/>
      <c r="W40" s="260"/>
      <c r="X40" s="261"/>
    </row>
    <row r="41" spans="1:24" s="265" customFormat="1" ht="15.75" thickBot="1">
      <c r="A41" s="412" t="s">
        <v>590</v>
      </c>
      <c r="B41" s="398" t="s">
        <v>552</v>
      </c>
      <c r="C41" s="259">
        <v>13520</v>
      </c>
      <c r="D41" s="259">
        <v>15075</v>
      </c>
      <c r="E41" s="399" t="s">
        <v>521</v>
      </c>
      <c r="F41" s="259">
        <v>41762</v>
      </c>
      <c r="G41" s="259">
        <v>41762</v>
      </c>
      <c r="H41" s="259">
        <v>41646</v>
      </c>
      <c r="I41" s="259">
        <v>42221</v>
      </c>
      <c r="J41" s="259">
        <f>J39-J37</f>
        <v>41400</v>
      </c>
      <c r="K41" s="260">
        <f>K39-K37</f>
        <v>3549</v>
      </c>
      <c r="L41" s="401">
        <f aca="true" t="shared" si="4" ref="L41:V41">L39-L37</f>
        <v>3306</v>
      </c>
      <c r="M41" s="401">
        <f t="shared" si="4"/>
        <v>3429</v>
      </c>
      <c r="N41" s="401">
        <f t="shared" si="4"/>
        <v>3318</v>
      </c>
      <c r="O41" s="401">
        <f t="shared" si="4"/>
        <v>3439</v>
      </c>
      <c r="P41" s="401">
        <f t="shared" si="4"/>
        <v>3388</v>
      </c>
      <c r="Q41" s="401">
        <f t="shared" si="4"/>
        <v>3483</v>
      </c>
      <c r="R41" s="401">
        <f t="shared" si="4"/>
        <v>3544</v>
      </c>
      <c r="S41" s="401">
        <f t="shared" si="4"/>
        <v>3780</v>
      </c>
      <c r="T41" s="401">
        <f t="shared" si="4"/>
        <v>0</v>
      </c>
      <c r="U41" s="401">
        <f t="shared" si="4"/>
        <v>0</v>
      </c>
      <c r="V41" s="401">
        <f t="shared" si="4"/>
        <v>0</v>
      </c>
      <c r="W41" s="259">
        <f t="shared" si="0"/>
        <v>31236</v>
      </c>
      <c r="X41" s="403">
        <f t="shared" si="1"/>
        <v>75.44927536231884</v>
      </c>
    </row>
    <row r="42" spans="1:24" s="265" customFormat="1" ht="15.75" thickBot="1">
      <c r="A42" s="397" t="s">
        <v>591</v>
      </c>
      <c r="B42" s="398" t="s">
        <v>592</v>
      </c>
      <c r="C42" s="259">
        <v>93</v>
      </c>
      <c r="D42" s="259">
        <v>-465</v>
      </c>
      <c r="E42" s="399" t="s">
        <v>521</v>
      </c>
      <c r="F42" s="259">
        <v>24</v>
      </c>
      <c r="G42" s="259">
        <v>24</v>
      </c>
      <c r="H42" s="259">
        <v>168</v>
      </c>
      <c r="I42" s="259">
        <v>-5925</v>
      </c>
      <c r="J42" s="259">
        <f>J39-J33</f>
        <v>5977</v>
      </c>
      <c r="K42" s="260">
        <f>K39-K33</f>
        <v>21</v>
      </c>
      <c r="L42" s="401">
        <f aca="true" t="shared" si="5" ref="L42:V42">L39-L33</f>
        <v>140</v>
      </c>
      <c r="M42" s="401">
        <f t="shared" si="5"/>
        <v>1810</v>
      </c>
      <c r="N42" s="401">
        <f t="shared" si="5"/>
        <v>4780</v>
      </c>
      <c r="O42" s="401">
        <f t="shared" si="5"/>
        <v>-1645</v>
      </c>
      <c r="P42" s="401">
        <f t="shared" si="5"/>
        <v>2649</v>
      </c>
      <c r="Q42" s="401">
        <f t="shared" si="5"/>
        <v>1175</v>
      </c>
      <c r="R42" s="401">
        <f t="shared" si="5"/>
        <v>-1699</v>
      </c>
      <c r="S42" s="401">
        <f t="shared" si="5"/>
        <v>-1359</v>
      </c>
      <c r="T42" s="401">
        <f t="shared" si="5"/>
        <v>0</v>
      </c>
      <c r="U42" s="401">
        <f t="shared" si="5"/>
        <v>0</v>
      </c>
      <c r="V42" s="413">
        <f t="shared" si="5"/>
        <v>0</v>
      </c>
      <c r="W42" s="259">
        <f t="shared" si="0"/>
        <v>5872</v>
      </c>
      <c r="X42" s="403">
        <f t="shared" si="1"/>
        <v>98.24326585243433</v>
      </c>
    </row>
    <row r="43" spans="1:24" s="265" customFormat="1" ht="15.75" thickBot="1">
      <c r="A43" s="414" t="s">
        <v>593</v>
      </c>
      <c r="B43" s="415" t="s">
        <v>552</v>
      </c>
      <c r="C43" s="416">
        <v>-12379</v>
      </c>
      <c r="D43" s="416">
        <v>-14193</v>
      </c>
      <c r="E43" s="417" t="s">
        <v>521</v>
      </c>
      <c r="F43" s="416">
        <v>-24176</v>
      </c>
      <c r="G43" s="416">
        <v>-24176</v>
      </c>
      <c r="H43" s="416">
        <v>-26053</v>
      </c>
      <c r="I43" s="416">
        <v>-18875</v>
      </c>
      <c r="J43" s="259">
        <f>J41-J33</f>
        <v>-17510</v>
      </c>
      <c r="K43" s="260">
        <f>K41-K33</f>
        <v>-1979</v>
      </c>
      <c r="L43" s="401">
        <f aca="true" t="shared" si="6" ref="L43:V43">L41-L33</f>
        <v>-1860</v>
      </c>
      <c r="M43" s="401">
        <f t="shared" si="6"/>
        <v>-2390</v>
      </c>
      <c r="N43" s="401">
        <f t="shared" si="6"/>
        <v>-1335</v>
      </c>
      <c r="O43" s="401">
        <f t="shared" si="6"/>
        <v>-1645</v>
      </c>
      <c r="P43" s="401">
        <f t="shared" si="6"/>
        <v>-1937</v>
      </c>
      <c r="Q43" s="401">
        <f t="shared" si="6"/>
        <v>-1615</v>
      </c>
      <c r="R43" s="401">
        <f t="shared" si="6"/>
        <v>-1699</v>
      </c>
      <c r="S43" s="401">
        <f t="shared" si="6"/>
        <v>-1359</v>
      </c>
      <c r="T43" s="401">
        <f t="shared" si="6"/>
        <v>0</v>
      </c>
      <c r="U43" s="401">
        <f t="shared" si="6"/>
        <v>0</v>
      </c>
      <c r="V43" s="401">
        <f t="shared" si="6"/>
        <v>0</v>
      </c>
      <c r="W43" s="259">
        <f t="shared" si="0"/>
        <v>-15819</v>
      </c>
      <c r="X43" s="403">
        <f t="shared" si="1"/>
        <v>90.34266133637921</v>
      </c>
    </row>
  </sheetData>
  <sheetProtection/>
  <mergeCells count="2">
    <mergeCell ref="R2:X2"/>
    <mergeCell ref="A1:Q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W45" sqref="W45"/>
    </sheetView>
  </sheetViews>
  <sheetFormatPr defaultColWidth="9.140625" defaultRowHeight="12.75"/>
  <cols>
    <col min="1" max="1" width="37.7109375" style="108" customWidth="1"/>
    <col min="2" max="2" width="9.57421875" style="108" customWidth="1"/>
    <col min="3" max="6" width="9.57421875" style="108" hidden="1" customWidth="1"/>
    <col min="7" max="8" width="9.57421875" style="108" customWidth="1"/>
    <col min="9" max="9" width="12.57421875" style="108" customWidth="1"/>
    <col min="10" max="18" width="9.140625" style="108" customWidth="1"/>
    <col min="19" max="21" width="0" style="108" hidden="1" customWidth="1"/>
    <col min="22" max="22" width="9.140625" style="108" customWidth="1"/>
    <col min="23" max="23" width="10.28125" style="108" customWidth="1"/>
    <col min="24" max="16384" width="9.140625" style="108" customWidth="1"/>
  </cols>
  <sheetData>
    <row r="1" spans="1:10" s="544" customFormat="1" ht="18.75">
      <c r="A1" s="543" t="s">
        <v>594</v>
      </c>
      <c r="J1" s="454"/>
    </row>
    <row r="2" spans="1:10" ht="18">
      <c r="A2" s="454" t="s">
        <v>595</v>
      </c>
      <c r="J2" s="453"/>
    </row>
    <row r="3" spans="1:10" ht="12.75">
      <c r="A3" s="453"/>
      <c r="J3" s="453"/>
    </row>
    <row r="4" ht="13.5" thickBot="1">
      <c r="J4" s="453"/>
    </row>
    <row r="5" spans="1:10" ht="16.5" thickBot="1">
      <c r="A5" s="455" t="s">
        <v>492</v>
      </c>
      <c r="B5" s="456" t="s">
        <v>596</v>
      </c>
      <c r="C5" s="457"/>
      <c r="D5" s="457"/>
      <c r="E5" s="457"/>
      <c r="F5" s="457"/>
      <c r="G5" s="457"/>
      <c r="H5" s="457"/>
      <c r="I5" s="457"/>
      <c r="J5" s="458"/>
    </row>
    <row r="6" spans="1:10" ht="13.5" thickBot="1">
      <c r="A6" s="453" t="s">
        <v>494</v>
      </c>
      <c r="J6" s="453"/>
    </row>
    <row r="7" spans="1:23" ht="15">
      <c r="A7" s="459"/>
      <c r="B7" s="460"/>
      <c r="C7" s="460"/>
      <c r="D7" s="460"/>
      <c r="E7" s="460"/>
      <c r="F7" s="460"/>
      <c r="G7" s="459"/>
      <c r="H7" s="418"/>
      <c r="I7" s="418" t="s">
        <v>29</v>
      </c>
      <c r="J7" s="461"/>
      <c r="K7" s="462"/>
      <c r="L7" s="462"/>
      <c r="M7" s="462"/>
      <c r="N7" s="462"/>
      <c r="O7" s="463" t="s">
        <v>495</v>
      </c>
      <c r="P7" s="462"/>
      <c r="Q7" s="462"/>
      <c r="R7" s="462"/>
      <c r="S7" s="462"/>
      <c r="T7" s="462"/>
      <c r="U7" s="462"/>
      <c r="V7" s="418" t="s">
        <v>496</v>
      </c>
      <c r="W7" s="464" t="s">
        <v>497</v>
      </c>
    </row>
    <row r="8" spans="1:23" ht="13.5" thickBot="1">
      <c r="A8" s="465" t="s">
        <v>27</v>
      </c>
      <c r="B8" s="466" t="s">
        <v>498</v>
      </c>
      <c r="C8" s="466">
        <v>2007</v>
      </c>
      <c r="D8" s="419">
        <v>2008</v>
      </c>
      <c r="E8" s="420">
        <v>2009</v>
      </c>
      <c r="F8" s="421">
        <v>2010</v>
      </c>
      <c r="G8" s="421">
        <v>2011</v>
      </c>
      <c r="H8" s="421">
        <v>2012</v>
      </c>
      <c r="I8" s="467">
        <v>2013</v>
      </c>
      <c r="J8" s="468" t="s">
        <v>506</v>
      </c>
      <c r="K8" s="469" t="s">
        <v>507</v>
      </c>
      <c r="L8" s="469" t="s">
        <v>508</v>
      </c>
      <c r="M8" s="469" t="s">
        <v>509</v>
      </c>
      <c r="N8" s="469" t="s">
        <v>510</v>
      </c>
      <c r="O8" s="469" t="s">
        <v>511</v>
      </c>
      <c r="P8" s="469" t="s">
        <v>512</v>
      </c>
      <c r="Q8" s="469" t="s">
        <v>513</v>
      </c>
      <c r="R8" s="469" t="s">
        <v>514</v>
      </c>
      <c r="S8" s="469" t="s">
        <v>515</v>
      </c>
      <c r="T8" s="469" t="s">
        <v>516</v>
      </c>
      <c r="U8" s="468" t="s">
        <v>517</v>
      </c>
      <c r="V8" s="467" t="s">
        <v>518</v>
      </c>
      <c r="W8" s="470" t="s">
        <v>519</v>
      </c>
    </row>
    <row r="9" spans="1:24" ht="12.75">
      <c r="A9" s="471" t="s">
        <v>520</v>
      </c>
      <c r="B9" s="472"/>
      <c r="C9" s="422">
        <v>24</v>
      </c>
      <c r="D9" s="422">
        <v>21</v>
      </c>
      <c r="E9" s="423">
        <v>21</v>
      </c>
      <c r="F9" s="424">
        <v>22</v>
      </c>
      <c r="G9" s="424">
        <v>22</v>
      </c>
      <c r="H9" s="424">
        <v>21</v>
      </c>
      <c r="I9" s="473"/>
      <c r="J9" s="474">
        <v>21</v>
      </c>
      <c r="K9" s="475">
        <v>21</v>
      </c>
      <c r="L9" s="475">
        <v>21</v>
      </c>
      <c r="M9" s="475">
        <v>20</v>
      </c>
      <c r="N9" s="425">
        <v>20</v>
      </c>
      <c r="O9" s="425">
        <v>21</v>
      </c>
      <c r="P9" s="425">
        <v>21</v>
      </c>
      <c r="Q9" s="425">
        <v>21</v>
      </c>
      <c r="R9" s="425">
        <v>21</v>
      </c>
      <c r="S9" s="425"/>
      <c r="T9" s="425"/>
      <c r="U9" s="425"/>
      <c r="V9" s="476" t="s">
        <v>521</v>
      </c>
      <c r="W9" s="477" t="s">
        <v>521</v>
      </c>
      <c r="X9" s="478"/>
    </row>
    <row r="10" spans="1:24" ht="13.5" thickBot="1">
      <c r="A10" s="479" t="s">
        <v>522</v>
      </c>
      <c r="B10" s="480"/>
      <c r="C10" s="426">
        <v>20</v>
      </c>
      <c r="D10" s="426">
        <v>20.5</v>
      </c>
      <c r="E10" s="481">
        <v>20</v>
      </c>
      <c r="F10" s="482">
        <v>22</v>
      </c>
      <c r="G10" s="482">
        <v>20</v>
      </c>
      <c r="H10" s="482">
        <v>21</v>
      </c>
      <c r="I10" s="483"/>
      <c r="J10" s="481">
        <v>21</v>
      </c>
      <c r="K10" s="484">
        <v>21</v>
      </c>
      <c r="L10" s="485">
        <v>21</v>
      </c>
      <c r="M10" s="485">
        <v>20</v>
      </c>
      <c r="N10" s="484">
        <v>20</v>
      </c>
      <c r="O10" s="484">
        <v>21</v>
      </c>
      <c r="P10" s="484">
        <v>21</v>
      </c>
      <c r="Q10" s="484">
        <v>21</v>
      </c>
      <c r="R10" s="484">
        <v>21</v>
      </c>
      <c r="S10" s="484"/>
      <c r="T10" s="484"/>
      <c r="U10" s="481"/>
      <c r="V10" s="486"/>
      <c r="W10" s="487" t="s">
        <v>521</v>
      </c>
      <c r="X10" s="478"/>
    </row>
    <row r="11" spans="1:24" ht="12.75">
      <c r="A11" s="488" t="s">
        <v>597</v>
      </c>
      <c r="B11" s="489">
        <v>26</v>
      </c>
      <c r="C11" s="427">
        <v>12687</v>
      </c>
      <c r="D11" s="427">
        <v>12682</v>
      </c>
      <c r="E11" s="490">
        <v>12645</v>
      </c>
      <c r="F11" s="491">
        <v>12743</v>
      </c>
      <c r="G11" s="491">
        <v>12709</v>
      </c>
      <c r="H11" s="491">
        <v>13220</v>
      </c>
      <c r="I11" s="492"/>
      <c r="J11" s="490">
        <v>13236</v>
      </c>
      <c r="K11" s="493">
        <v>13182</v>
      </c>
      <c r="L11" s="494">
        <v>13182</v>
      </c>
      <c r="M11" s="494">
        <v>13182</v>
      </c>
      <c r="N11" s="493">
        <v>13182</v>
      </c>
      <c r="O11" s="493">
        <v>13182</v>
      </c>
      <c r="P11" s="493">
        <v>13209</v>
      </c>
      <c r="Q11" s="493">
        <v>13297</v>
      </c>
      <c r="R11" s="493">
        <v>13337</v>
      </c>
      <c r="S11" s="493"/>
      <c r="T11" s="493"/>
      <c r="U11" s="490"/>
      <c r="V11" s="492" t="s">
        <v>521</v>
      </c>
      <c r="W11" s="495" t="s">
        <v>521</v>
      </c>
      <c r="X11" s="496"/>
    </row>
    <row r="12" spans="1:24" ht="12.75">
      <c r="A12" s="488" t="s">
        <v>598</v>
      </c>
      <c r="B12" s="489">
        <v>33</v>
      </c>
      <c r="C12" s="427">
        <v>-7657</v>
      </c>
      <c r="D12" s="427">
        <v>-8337</v>
      </c>
      <c r="E12" s="490">
        <v>-9084</v>
      </c>
      <c r="F12" s="491">
        <v>-9822</v>
      </c>
      <c r="G12" s="497">
        <v>10473</v>
      </c>
      <c r="H12" s="497">
        <v>11118</v>
      </c>
      <c r="I12" s="492"/>
      <c r="J12" s="498">
        <v>-11286</v>
      </c>
      <c r="K12" s="499">
        <v>-11289</v>
      </c>
      <c r="L12" s="500">
        <v>-11345</v>
      </c>
      <c r="M12" s="500">
        <v>-11401</v>
      </c>
      <c r="N12" s="493">
        <v>-11457</v>
      </c>
      <c r="O12" s="493">
        <v>-11512</v>
      </c>
      <c r="P12" s="493">
        <v>-11595</v>
      </c>
      <c r="Q12" s="493">
        <v>-11691</v>
      </c>
      <c r="R12" s="493">
        <v>-11793</v>
      </c>
      <c r="S12" s="493"/>
      <c r="T12" s="493"/>
      <c r="U12" s="490"/>
      <c r="V12" s="492" t="s">
        <v>521</v>
      </c>
      <c r="W12" s="495" t="s">
        <v>521</v>
      </c>
      <c r="X12" s="496"/>
    </row>
    <row r="13" spans="1:23" ht="12.75">
      <c r="A13" s="488" t="s">
        <v>599</v>
      </c>
      <c r="B13" s="489">
        <v>41</v>
      </c>
      <c r="C13" s="427"/>
      <c r="D13" s="427"/>
      <c r="E13" s="498"/>
      <c r="F13" s="501"/>
      <c r="G13" s="501"/>
      <c r="H13" s="501"/>
      <c r="I13" s="492"/>
      <c r="J13" s="498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8"/>
      <c r="V13" s="492" t="s">
        <v>521</v>
      </c>
      <c r="W13" s="495" t="s">
        <v>521</v>
      </c>
    </row>
    <row r="14" spans="1:23" ht="12.75">
      <c r="A14" s="488" t="s">
        <v>529</v>
      </c>
      <c r="B14" s="489">
        <v>51</v>
      </c>
      <c r="C14" s="427"/>
      <c r="D14" s="427"/>
      <c r="E14" s="498"/>
      <c r="F14" s="501"/>
      <c r="G14" s="501"/>
      <c r="H14" s="501"/>
      <c r="I14" s="492"/>
      <c r="J14" s="498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8"/>
      <c r="V14" s="492" t="s">
        <v>521</v>
      </c>
      <c r="W14" s="495" t="s">
        <v>521</v>
      </c>
    </row>
    <row r="15" spans="1:23" ht="12.75">
      <c r="A15" s="488" t="s">
        <v>532</v>
      </c>
      <c r="B15" s="489">
        <v>75</v>
      </c>
      <c r="C15" s="427">
        <v>988</v>
      </c>
      <c r="D15" s="427">
        <v>96</v>
      </c>
      <c r="E15" s="490">
        <v>1305</v>
      </c>
      <c r="F15" s="491">
        <v>2011</v>
      </c>
      <c r="G15" s="491">
        <v>3219</v>
      </c>
      <c r="H15" s="491">
        <v>3903</v>
      </c>
      <c r="I15" s="492"/>
      <c r="J15" s="498">
        <v>4630</v>
      </c>
      <c r="K15" s="499">
        <v>2960</v>
      </c>
      <c r="L15" s="500">
        <v>3166</v>
      </c>
      <c r="M15" s="500">
        <v>3034</v>
      </c>
      <c r="N15" s="493">
        <v>3534</v>
      </c>
      <c r="O15" s="493">
        <v>3521</v>
      </c>
      <c r="P15" s="493">
        <v>3020</v>
      </c>
      <c r="Q15" s="493">
        <v>3498</v>
      </c>
      <c r="R15" s="493">
        <v>3700</v>
      </c>
      <c r="S15" s="493"/>
      <c r="T15" s="493"/>
      <c r="U15" s="490"/>
      <c r="V15" s="492" t="s">
        <v>521</v>
      </c>
      <c r="W15" s="495" t="s">
        <v>521</v>
      </c>
    </row>
    <row r="16" spans="1:23" ht="13.5" thickBot="1">
      <c r="A16" s="471" t="s">
        <v>534</v>
      </c>
      <c r="B16" s="472">
        <v>89</v>
      </c>
      <c r="C16" s="428">
        <v>1109</v>
      </c>
      <c r="D16" s="428">
        <v>1611</v>
      </c>
      <c r="E16" s="429">
        <v>651</v>
      </c>
      <c r="F16" s="430">
        <v>583</v>
      </c>
      <c r="G16" s="430">
        <v>2757</v>
      </c>
      <c r="H16" s="430">
        <v>1116</v>
      </c>
      <c r="I16" s="476"/>
      <c r="J16" s="496">
        <v>954</v>
      </c>
      <c r="K16" s="431">
        <v>2109</v>
      </c>
      <c r="L16" s="502">
        <v>2515</v>
      </c>
      <c r="M16" s="502">
        <v>1710</v>
      </c>
      <c r="N16" s="431">
        <v>2135</v>
      </c>
      <c r="O16" s="431">
        <v>1359</v>
      </c>
      <c r="P16" s="431">
        <v>3076</v>
      </c>
      <c r="Q16" s="431">
        <v>3129</v>
      </c>
      <c r="R16" s="431">
        <v>2961</v>
      </c>
      <c r="S16" s="431"/>
      <c r="T16" s="431"/>
      <c r="U16" s="431"/>
      <c r="V16" s="476" t="s">
        <v>521</v>
      </c>
      <c r="W16" s="477" t="s">
        <v>521</v>
      </c>
    </row>
    <row r="17" spans="1:23" ht="13.5" thickBot="1">
      <c r="A17" s="503" t="s">
        <v>600</v>
      </c>
      <c r="B17" s="504">
        <v>125</v>
      </c>
      <c r="C17" s="505">
        <v>7241</v>
      </c>
      <c r="D17" s="505">
        <v>7150</v>
      </c>
      <c r="E17" s="506">
        <v>5713</v>
      </c>
      <c r="F17" s="507">
        <v>5417</v>
      </c>
      <c r="G17" s="507"/>
      <c r="H17" s="507"/>
      <c r="I17" s="508"/>
      <c r="J17" s="506"/>
      <c r="K17" s="509"/>
      <c r="L17" s="510"/>
      <c r="M17" s="510"/>
      <c r="N17" s="509"/>
      <c r="O17" s="509"/>
      <c r="P17" s="509"/>
      <c r="Q17" s="509"/>
      <c r="R17" s="509"/>
      <c r="S17" s="509"/>
      <c r="T17" s="509"/>
      <c r="U17" s="506"/>
      <c r="V17" s="508" t="s">
        <v>521</v>
      </c>
      <c r="W17" s="511" t="s">
        <v>521</v>
      </c>
    </row>
    <row r="18" spans="1:23" ht="12.75">
      <c r="A18" s="471" t="s">
        <v>601</v>
      </c>
      <c r="B18" s="472">
        <v>131</v>
      </c>
      <c r="C18" s="428">
        <v>4814</v>
      </c>
      <c r="D18" s="428">
        <v>4381</v>
      </c>
      <c r="E18" s="429">
        <v>3601</v>
      </c>
      <c r="F18" s="430">
        <v>2863</v>
      </c>
      <c r="G18" s="430">
        <v>2178</v>
      </c>
      <c r="H18" s="430">
        <v>2044</v>
      </c>
      <c r="I18" s="476"/>
      <c r="J18" s="496">
        <v>1989</v>
      </c>
      <c r="K18" s="431">
        <v>1933</v>
      </c>
      <c r="L18" s="502">
        <v>1877</v>
      </c>
      <c r="M18" s="502">
        <v>1821</v>
      </c>
      <c r="N18" s="431">
        <v>1766</v>
      </c>
      <c r="O18" s="431">
        <v>1710</v>
      </c>
      <c r="P18" s="431">
        <v>1766</v>
      </c>
      <c r="Q18" s="431">
        <v>1646</v>
      </c>
      <c r="R18" s="431">
        <v>1584</v>
      </c>
      <c r="S18" s="431"/>
      <c r="T18" s="431"/>
      <c r="U18" s="431"/>
      <c r="V18" s="476" t="s">
        <v>521</v>
      </c>
      <c r="W18" s="477" t="s">
        <v>521</v>
      </c>
    </row>
    <row r="19" spans="1:23" ht="12.75">
      <c r="A19" s="488" t="s">
        <v>602</v>
      </c>
      <c r="B19" s="489">
        <v>138</v>
      </c>
      <c r="C19" s="427">
        <v>1215</v>
      </c>
      <c r="D19" s="427">
        <v>1761</v>
      </c>
      <c r="E19" s="490">
        <v>861</v>
      </c>
      <c r="F19" s="491">
        <v>1067</v>
      </c>
      <c r="G19" s="491">
        <v>1636</v>
      </c>
      <c r="H19" s="491">
        <v>1382</v>
      </c>
      <c r="I19" s="492"/>
      <c r="J19" s="490">
        <v>1438</v>
      </c>
      <c r="K19" s="493">
        <v>1494</v>
      </c>
      <c r="L19" s="494">
        <v>1549</v>
      </c>
      <c r="M19" s="494">
        <v>1405</v>
      </c>
      <c r="N19" s="493">
        <v>1462</v>
      </c>
      <c r="O19" s="493">
        <v>1518</v>
      </c>
      <c r="P19" s="493">
        <v>1462</v>
      </c>
      <c r="Q19" s="493">
        <v>1586</v>
      </c>
      <c r="R19" s="493">
        <v>1648</v>
      </c>
      <c r="S19" s="493"/>
      <c r="T19" s="493"/>
      <c r="U19" s="490"/>
      <c r="V19" s="492" t="s">
        <v>521</v>
      </c>
      <c r="W19" s="495" t="s">
        <v>521</v>
      </c>
    </row>
    <row r="20" spans="1:23" ht="12.75">
      <c r="A20" s="488" t="s">
        <v>543</v>
      </c>
      <c r="B20" s="489">
        <v>166</v>
      </c>
      <c r="C20" s="427"/>
      <c r="D20" s="427"/>
      <c r="E20" s="490"/>
      <c r="F20" s="491"/>
      <c r="G20" s="491"/>
      <c r="H20" s="491"/>
      <c r="I20" s="492"/>
      <c r="J20" s="498"/>
      <c r="K20" s="499"/>
      <c r="L20" s="500"/>
      <c r="M20" s="500"/>
      <c r="N20" s="493"/>
      <c r="O20" s="493"/>
      <c r="P20" s="493"/>
      <c r="Q20" s="493"/>
      <c r="R20" s="493"/>
      <c r="S20" s="493"/>
      <c r="T20" s="493"/>
      <c r="U20" s="490"/>
      <c r="V20" s="492" t="s">
        <v>521</v>
      </c>
      <c r="W20" s="495" t="s">
        <v>521</v>
      </c>
    </row>
    <row r="21" spans="1:23" ht="12.75">
      <c r="A21" s="488" t="s">
        <v>545</v>
      </c>
      <c r="B21" s="489">
        <v>189</v>
      </c>
      <c r="C21" s="427">
        <v>641</v>
      </c>
      <c r="D21" s="427">
        <v>924</v>
      </c>
      <c r="E21" s="490">
        <v>1219</v>
      </c>
      <c r="F21" s="491">
        <v>1487</v>
      </c>
      <c r="G21" s="491">
        <v>3338</v>
      </c>
      <c r="H21" s="491">
        <v>3576</v>
      </c>
      <c r="I21" s="492"/>
      <c r="J21" s="498">
        <v>4106</v>
      </c>
      <c r="K21" s="499">
        <v>9100</v>
      </c>
      <c r="L21" s="500">
        <v>2389</v>
      </c>
      <c r="M21" s="500">
        <v>1898</v>
      </c>
      <c r="N21" s="493">
        <v>2247</v>
      </c>
      <c r="O21" s="493">
        <v>2324</v>
      </c>
      <c r="P21" s="493">
        <v>1514</v>
      </c>
      <c r="Q21" s="493">
        <v>2435</v>
      </c>
      <c r="R21" s="493">
        <v>2151</v>
      </c>
      <c r="S21" s="493"/>
      <c r="T21" s="493"/>
      <c r="U21" s="490"/>
      <c r="V21" s="492" t="s">
        <v>521</v>
      </c>
      <c r="W21" s="495" t="s">
        <v>521</v>
      </c>
    </row>
    <row r="22" spans="1:23" ht="13.5" thickBot="1">
      <c r="A22" s="488" t="s">
        <v>603</v>
      </c>
      <c r="B22" s="489">
        <v>196</v>
      </c>
      <c r="C22" s="427">
        <v>256</v>
      </c>
      <c r="D22" s="427">
        <v>0</v>
      </c>
      <c r="E22" s="490"/>
      <c r="F22" s="491"/>
      <c r="G22" s="491"/>
      <c r="H22" s="491"/>
      <c r="I22" s="492"/>
      <c r="J22" s="498"/>
      <c r="K22" s="499"/>
      <c r="L22" s="500"/>
      <c r="M22" s="500"/>
      <c r="N22" s="493"/>
      <c r="O22" s="493"/>
      <c r="P22" s="493"/>
      <c r="Q22" s="493"/>
      <c r="R22" s="493"/>
      <c r="S22" s="493"/>
      <c r="T22" s="493"/>
      <c r="U22" s="490"/>
      <c r="V22" s="492" t="s">
        <v>521</v>
      </c>
      <c r="W22" s="495" t="s">
        <v>521</v>
      </c>
    </row>
    <row r="23" spans="1:23" ht="15">
      <c r="A23" s="512" t="s">
        <v>549</v>
      </c>
      <c r="B23" s="513"/>
      <c r="C23" s="432">
        <v>8932</v>
      </c>
      <c r="D23" s="432">
        <v>7938</v>
      </c>
      <c r="E23" s="433">
        <v>8283</v>
      </c>
      <c r="F23" s="434">
        <v>15657</v>
      </c>
      <c r="G23" s="434">
        <v>13146</v>
      </c>
      <c r="H23" s="434">
        <v>11973</v>
      </c>
      <c r="I23" s="514">
        <v>13648</v>
      </c>
      <c r="J23" s="515">
        <v>992</v>
      </c>
      <c r="K23" s="516">
        <v>2201</v>
      </c>
      <c r="L23" s="516">
        <v>1500</v>
      </c>
      <c r="M23" s="516">
        <v>375</v>
      </c>
      <c r="N23" s="516">
        <v>750</v>
      </c>
      <c r="O23" s="516">
        <v>550</v>
      </c>
      <c r="P23" s="516">
        <v>2749</v>
      </c>
      <c r="Q23" s="516">
        <v>1146</v>
      </c>
      <c r="R23" s="516">
        <v>750</v>
      </c>
      <c r="S23" s="516"/>
      <c r="T23" s="516"/>
      <c r="U23" s="515"/>
      <c r="V23" s="514">
        <f>SUM(J23:U23)</f>
        <v>11013</v>
      </c>
      <c r="W23" s="517">
        <f>+V23/I23*100</f>
        <v>80.69314185228606</v>
      </c>
    </row>
    <row r="24" spans="1:23" ht="15">
      <c r="A24" s="488" t="s">
        <v>551</v>
      </c>
      <c r="B24" s="489">
        <v>9</v>
      </c>
      <c r="C24" s="435">
        <v>0</v>
      </c>
      <c r="D24" s="435">
        <v>0</v>
      </c>
      <c r="E24" s="436">
        <v>0</v>
      </c>
      <c r="F24" s="435">
        <v>6150</v>
      </c>
      <c r="G24" s="435">
        <v>0</v>
      </c>
      <c r="H24" s="435">
        <v>0</v>
      </c>
      <c r="I24" s="518">
        <v>0</v>
      </c>
      <c r="J24" s="490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0"/>
      <c r="V24" s="518">
        <f>SUM(J24:U24)</f>
        <v>0</v>
      </c>
      <c r="W24" s="519" t="e">
        <f>+V24/I24*100</f>
        <v>#DIV/0!</v>
      </c>
    </row>
    <row r="25" spans="1:23" ht="15.75" thickBot="1">
      <c r="A25" s="520" t="s">
        <v>553</v>
      </c>
      <c r="B25" s="521">
        <v>19</v>
      </c>
      <c r="C25" s="437">
        <v>8932</v>
      </c>
      <c r="D25" s="437">
        <v>7938</v>
      </c>
      <c r="E25" s="438">
        <v>8583</v>
      </c>
      <c r="F25" s="439">
        <v>9507</v>
      </c>
      <c r="G25" s="439">
        <v>13146</v>
      </c>
      <c r="H25" s="439">
        <v>11973</v>
      </c>
      <c r="I25" s="522">
        <v>13648</v>
      </c>
      <c r="J25" s="523">
        <v>992</v>
      </c>
      <c r="K25" s="524">
        <v>2201</v>
      </c>
      <c r="L25" s="524">
        <v>1500</v>
      </c>
      <c r="M25" s="524">
        <v>375</v>
      </c>
      <c r="N25" s="524">
        <v>750</v>
      </c>
      <c r="O25" s="524">
        <v>550</v>
      </c>
      <c r="P25" s="524">
        <v>2749</v>
      </c>
      <c r="Q25" s="524">
        <v>1146</v>
      </c>
      <c r="R25" s="524">
        <v>750</v>
      </c>
      <c r="S25" s="524"/>
      <c r="T25" s="524"/>
      <c r="U25" s="523"/>
      <c r="V25" s="522">
        <f>SUM(J25:U25)</f>
        <v>11013</v>
      </c>
      <c r="W25" s="525">
        <f>+V25/I25*100</f>
        <v>80.69314185228606</v>
      </c>
    </row>
    <row r="26" spans="1:23" ht="15">
      <c r="A26" s="488" t="s">
        <v>554</v>
      </c>
      <c r="B26" s="489">
        <v>1</v>
      </c>
      <c r="C26" s="440">
        <v>860</v>
      </c>
      <c r="D26" s="440">
        <v>1063</v>
      </c>
      <c r="E26" s="441">
        <v>644</v>
      </c>
      <c r="F26" s="442">
        <v>693</v>
      </c>
      <c r="G26" s="442">
        <v>1130</v>
      </c>
      <c r="H26" s="442">
        <v>824</v>
      </c>
      <c r="I26" s="526">
        <v>1150</v>
      </c>
      <c r="J26" s="490">
        <v>73</v>
      </c>
      <c r="K26" s="493">
        <v>56</v>
      </c>
      <c r="L26" s="493">
        <v>77</v>
      </c>
      <c r="M26" s="493">
        <v>42</v>
      </c>
      <c r="N26" s="493">
        <v>80</v>
      </c>
      <c r="O26" s="493">
        <v>148</v>
      </c>
      <c r="P26" s="493">
        <v>70</v>
      </c>
      <c r="Q26" s="493">
        <v>99</v>
      </c>
      <c r="R26" s="493">
        <v>77</v>
      </c>
      <c r="S26" s="493"/>
      <c r="T26" s="493"/>
      <c r="U26" s="490"/>
      <c r="V26" s="518">
        <f aca="true" t="shared" si="0" ref="V26:V36">SUM(J26:U26)</f>
        <v>722</v>
      </c>
      <c r="W26" s="519">
        <f aca="true" t="shared" si="1" ref="W26:W36">+V26/I26*100</f>
        <v>62.78260869565217</v>
      </c>
    </row>
    <row r="27" spans="1:23" ht="15">
      <c r="A27" s="488" t="s">
        <v>556</v>
      </c>
      <c r="B27" s="489">
        <v>2</v>
      </c>
      <c r="C27" s="435">
        <v>2600</v>
      </c>
      <c r="D27" s="435">
        <v>2659</v>
      </c>
      <c r="E27" s="436">
        <v>2923</v>
      </c>
      <c r="F27" s="435">
        <v>3376</v>
      </c>
      <c r="G27" s="435">
        <v>3127</v>
      </c>
      <c r="H27" s="435">
        <v>3808</v>
      </c>
      <c r="I27" s="518">
        <v>4060</v>
      </c>
      <c r="J27" s="490">
        <v>555</v>
      </c>
      <c r="K27" s="493">
        <v>269</v>
      </c>
      <c r="L27" s="493">
        <v>554</v>
      </c>
      <c r="M27" s="493">
        <v>222</v>
      </c>
      <c r="N27" s="493">
        <v>166</v>
      </c>
      <c r="O27" s="493">
        <v>256</v>
      </c>
      <c r="P27" s="493">
        <v>201</v>
      </c>
      <c r="Q27" s="493">
        <v>274</v>
      </c>
      <c r="R27" s="493">
        <v>231</v>
      </c>
      <c r="S27" s="493"/>
      <c r="T27" s="493"/>
      <c r="U27" s="490"/>
      <c r="V27" s="518">
        <f t="shared" si="0"/>
        <v>2728</v>
      </c>
      <c r="W27" s="519">
        <f t="shared" si="1"/>
        <v>67.19211822660098</v>
      </c>
    </row>
    <row r="28" spans="1:23" ht="15">
      <c r="A28" s="488" t="s">
        <v>558</v>
      </c>
      <c r="B28" s="489">
        <v>4</v>
      </c>
      <c r="C28" s="435"/>
      <c r="D28" s="435">
        <v>0</v>
      </c>
      <c r="E28" s="436">
        <v>0</v>
      </c>
      <c r="F28" s="435">
        <v>0</v>
      </c>
      <c r="G28" s="435">
        <v>0</v>
      </c>
      <c r="H28" s="435">
        <v>0</v>
      </c>
      <c r="I28" s="518"/>
      <c r="J28" s="490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0"/>
      <c r="V28" s="518">
        <f t="shared" si="0"/>
        <v>0</v>
      </c>
      <c r="W28" s="519" t="e">
        <f t="shared" si="1"/>
        <v>#DIV/0!</v>
      </c>
    </row>
    <row r="29" spans="1:23" ht="15">
      <c r="A29" s="488" t="s">
        <v>604</v>
      </c>
      <c r="B29" s="489"/>
      <c r="C29" s="435"/>
      <c r="D29" s="435"/>
      <c r="E29" s="436">
        <v>0</v>
      </c>
      <c r="F29" s="435">
        <v>0</v>
      </c>
      <c r="G29" s="435">
        <v>0</v>
      </c>
      <c r="H29" s="435">
        <v>0</v>
      </c>
      <c r="I29" s="518">
        <v>0</v>
      </c>
      <c r="J29" s="490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0"/>
      <c r="V29" s="518">
        <v>0</v>
      </c>
      <c r="W29" s="519"/>
    </row>
    <row r="30" spans="1:23" ht="15">
      <c r="A30" s="488" t="s">
        <v>560</v>
      </c>
      <c r="B30" s="489">
        <v>5</v>
      </c>
      <c r="C30" s="435">
        <v>980</v>
      </c>
      <c r="D30" s="435">
        <v>1039</v>
      </c>
      <c r="E30" s="436">
        <v>1984</v>
      </c>
      <c r="F30" s="435">
        <v>930</v>
      </c>
      <c r="G30" s="435">
        <v>880</v>
      </c>
      <c r="H30" s="435">
        <v>1031</v>
      </c>
      <c r="I30" s="518">
        <v>1600</v>
      </c>
      <c r="J30" s="490">
        <v>3</v>
      </c>
      <c r="K30" s="493">
        <v>58</v>
      </c>
      <c r="L30" s="493">
        <v>2</v>
      </c>
      <c r="M30" s="493">
        <v>16</v>
      </c>
      <c r="N30" s="493">
        <v>84</v>
      </c>
      <c r="O30" s="493">
        <v>59</v>
      </c>
      <c r="P30" s="493">
        <v>604</v>
      </c>
      <c r="Q30" s="493">
        <v>9</v>
      </c>
      <c r="R30" s="493">
        <v>25</v>
      </c>
      <c r="S30" s="493"/>
      <c r="T30" s="493"/>
      <c r="U30" s="490"/>
      <c r="V30" s="518">
        <f t="shared" si="0"/>
        <v>860</v>
      </c>
      <c r="W30" s="519">
        <f t="shared" si="1"/>
        <v>53.75</v>
      </c>
    </row>
    <row r="31" spans="1:23" ht="15">
      <c r="A31" s="488" t="s">
        <v>562</v>
      </c>
      <c r="B31" s="489">
        <v>8</v>
      </c>
      <c r="C31" s="435">
        <v>940</v>
      </c>
      <c r="D31" s="435">
        <v>1932</v>
      </c>
      <c r="E31" s="436">
        <v>1720</v>
      </c>
      <c r="F31" s="435">
        <v>1701</v>
      </c>
      <c r="G31" s="435">
        <v>4552</v>
      </c>
      <c r="H31" s="435">
        <v>4229</v>
      </c>
      <c r="I31" s="518">
        <v>4172</v>
      </c>
      <c r="J31" s="490">
        <v>495</v>
      </c>
      <c r="K31" s="493">
        <v>395</v>
      </c>
      <c r="L31" s="493">
        <v>474</v>
      </c>
      <c r="M31" s="493">
        <v>295</v>
      </c>
      <c r="N31" s="493">
        <v>145</v>
      </c>
      <c r="O31" s="493">
        <v>153</v>
      </c>
      <c r="P31" s="493">
        <v>106</v>
      </c>
      <c r="Q31" s="493">
        <v>339</v>
      </c>
      <c r="R31" s="493">
        <v>420</v>
      </c>
      <c r="S31" s="493"/>
      <c r="T31" s="493"/>
      <c r="U31" s="490"/>
      <c r="V31" s="518">
        <f t="shared" si="0"/>
        <v>2822</v>
      </c>
      <c r="W31" s="519">
        <f t="shared" si="1"/>
        <v>67.64141898370086</v>
      </c>
    </row>
    <row r="32" spans="1:23" ht="15">
      <c r="A32" s="488" t="s">
        <v>564</v>
      </c>
      <c r="B32" s="527">
        <v>9</v>
      </c>
      <c r="C32" s="435">
        <v>5200</v>
      </c>
      <c r="D32" s="435">
        <v>5491</v>
      </c>
      <c r="E32" s="436">
        <v>5605</v>
      </c>
      <c r="F32" s="435">
        <v>5720</v>
      </c>
      <c r="G32" s="435">
        <v>5375</v>
      </c>
      <c r="H32" s="435">
        <v>5649</v>
      </c>
      <c r="I32" s="518">
        <v>6040</v>
      </c>
      <c r="J32" s="490">
        <v>471</v>
      </c>
      <c r="K32" s="493">
        <v>460</v>
      </c>
      <c r="L32" s="493">
        <v>586</v>
      </c>
      <c r="M32" s="493">
        <v>436</v>
      </c>
      <c r="N32" s="493">
        <v>472</v>
      </c>
      <c r="O32" s="493">
        <v>409</v>
      </c>
      <c r="P32" s="493">
        <v>470</v>
      </c>
      <c r="Q32" s="493">
        <v>623</v>
      </c>
      <c r="R32" s="493">
        <v>456</v>
      </c>
      <c r="S32" s="493"/>
      <c r="T32" s="493"/>
      <c r="U32" s="490"/>
      <c r="V32" s="518">
        <f>SUM(J32:U32)</f>
        <v>4383</v>
      </c>
      <c r="W32" s="519">
        <f>+V32/I32*100</f>
        <v>72.56622516556291</v>
      </c>
    </row>
    <row r="33" spans="1:23" ht="15">
      <c r="A33" s="488" t="s">
        <v>605</v>
      </c>
      <c r="B33" s="528" t="s">
        <v>606</v>
      </c>
      <c r="C33" s="435">
        <v>1820</v>
      </c>
      <c r="D33" s="435">
        <v>2083</v>
      </c>
      <c r="E33" s="436">
        <v>2055</v>
      </c>
      <c r="F33" s="435">
        <v>2198</v>
      </c>
      <c r="G33" s="435">
        <v>1947</v>
      </c>
      <c r="H33" s="435">
        <v>2115</v>
      </c>
      <c r="I33" s="518">
        <v>2387</v>
      </c>
      <c r="J33" s="490">
        <v>176</v>
      </c>
      <c r="K33" s="493">
        <v>169</v>
      </c>
      <c r="L33" s="493">
        <v>223</v>
      </c>
      <c r="M33" s="493">
        <v>161</v>
      </c>
      <c r="N33" s="493">
        <v>171</v>
      </c>
      <c r="O33" s="493">
        <v>158</v>
      </c>
      <c r="P33" s="493">
        <v>173</v>
      </c>
      <c r="Q33" s="493">
        <v>216</v>
      </c>
      <c r="R33" s="493">
        <v>176</v>
      </c>
      <c r="S33" s="493"/>
      <c r="T33" s="493"/>
      <c r="U33" s="490"/>
      <c r="V33" s="518">
        <f>SUM(J33:U33)</f>
        <v>1623</v>
      </c>
      <c r="W33" s="519">
        <f>+V33/I33*100</f>
        <v>67.9932970255551</v>
      </c>
    </row>
    <row r="34" spans="1:23" ht="15">
      <c r="A34" s="488" t="s">
        <v>569</v>
      </c>
      <c r="B34" s="489">
        <v>19</v>
      </c>
      <c r="C34" s="435"/>
      <c r="D34" s="435">
        <v>0</v>
      </c>
      <c r="E34" s="436">
        <v>0</v>
      </c>
      <c r="F34" s="435">
        <v>0</v>
      </c>
      <c r="G34" s="435">
        <v>0</v>
      </c>
      <c r="H34" s="435">
        <v>0</v>
      </c>
      <c r="I34" s="518"/>
      <c r="J34" s="490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0"/>
      <c r="V34" s="518">
        <f t="shared" si="0"/>
        <v>0</v>
      </c>
      <c r="W34" s="519" t="e">
        <f t="shared" si="1"/>
        <v>#DIV/0!</v>
      </c>
    </row>
    <row r="35" spans="1:23" ht="15">
      <c r="A35" s="488" t="s">
        <v>571</v>
      </c>
      <c r="B35" s="489">
        <v>25</v>
      </c>
      <c r="C35" s="435">
        <v>840</v>
      </c>
      <c r="D35" s="435">
        <v>795</v>
      </c>
      <c r="E35" s="436">
        <v>325</v>
      </c>
      <c r="F35" s="435">
        <v>186</v>
      </c>
      <c r="G35" s="435">
        <v>684</v>
      </c>
      <c r="H35" s="435">
        <v>661</v>
      </c>
      <c r="I35" s="518">
        <v>733</v>
      </c>
      <c r="J35" s="490">
        <v>56</v>
      </c>
      <c r="K35" s="493">
        <v>56</v>
      </c>
      <c r="L35" s="493">
        <v>56</v>
      </c>
      <c r="M35" s="493">
        <v>56</v>
      </c>
      <c r="N35" s="493">
        <v>55</v>
      </c>
      <c r="O35" s="493">
        <v>56</v>
      </c>
      <c r="P35" s="493">
        <v>56</v>
      </c>
      <c r="Q35" s="493">
        <v>96</v>
      </c>
      <c r="R35" s="493">
        <v>61</v>
      </c>
      <c r="S35" s="493"/>
      <c r="T35" s="493"/>
      <c r="U35" s="490"/>
      <c r="V35" s="518">
        <f t="shared" si="0"/>
        <v>548</v>
      </c>
      <c r="W35" s="519">
        <f t="shared" si="1"/>
        <v>74.7612551159618</v>
      </c>
    </row>
    <row r="36" spans="1:23" ht="15.75" thickBot="1">
      <c r="A36" s="471" t="s">
        <v>607</v>
      </c>
      <c r="B36" s="472"/>
      <c r="C36" s="443">
        <v>1732</v>
      </c>
      <c r="D36" s="443">
        <v>433</v>
      </c>
      <c r="E36" s="444">
        <v>673</v>
      </c>
      <c r="F36" s="445">
        <v>506</v>
      </c>
      <c r="G36" s="445">
        <v>351</v>
      </c>
      <c r="H36" s="445">
        <v>1447</v>
      </c>
      <c r="I36" s="452">
        <v>230</v>
      </c>
      <c r="J36" s="446">
        <v>22</v>
      </c>
      <c r="K36" s="431">
        <v>7</v>
      </c>
      <c r="L36" s="431">
        <v>23</v>
      </c>
      <c r="M36" s="431">
        <v>68</v>
      </c>
      <c r="N36" s="431">
        <v>-1</v>
      </c>
      <c r="O36" s="431"/>
      <c r="P36" s="431">
        <v>30</v>
      </c>
      <c r="Q36" s="431">
        <v>101</v>
      </c>
      <c r="R36" s="431">
        <v>7</v>
      </c>
      <c r="S36" s="431"/>
      <c r="T36" s="431"/>
      <c r="U36" s="431"/>
      <c r="V36" s="452">
        <f t="shared" si="0"/>
        <v>257</v>
      </c>
      <c r="W36" s="529">
        <f t="shared" si="1"/>
        <v>111.73913043478261</v>
      </c>
    </row>
    <row r="37" spans="1:23" ht="23.25" customHeight="1" thickBot="1">
      <c r="A37" s="530" t="s">
        <v>608</v>
      </c>
      <c r="B37" s="531">
        <v>31</v>
      </c>
      <c r="C37" s="532">
        <f>SUM(C26:C36)</f>
        <v>14972</v>
      </c>
      <c r="D37" s="532">
        <v>15495</v>
      </c>
      <c r="E37" s="533">
        <v>15929</v>
      </c>
      <c r="F37" s="534">
        <v>22086</v>
      </c>
      <c r="G37" s="534">
        <v>18046</v>
      </c>
      <c r="H37" s="534">
        <v>19764</v>
      </c>
      <c r="I37" s="534">
        <f>SUM(I26:I36)</f>
        <v>20372</v>
      </c>
      <c r="J37" s="533">
        <f>SUM(J26:J36)</f>
        <v>1851</v>
      </c>
      <c r="K37" s="535">
        <f>SUM(K26:K36)</f>
        <v>1470</v>
      </c>
      <c r="L37" s="536">
        <f>SUM(L26:L36)</f>
        <v>1995</v>
      </c>
      <c r="M37" s="536">
        <f>SUM(M26:M36)</f>
        <v>1296</v>
      </c>
      <c r="N37" s="535">
        <f aca="true" t="shared" si="2" ref="N37:U37">SUM(N26:N36)</f>
        <v>1172</v>
      </c>
      <c r="O37" s="535">
        <f t="shared" si="2"/>
        <v>1239</v>
      </c>
      <c r="P37" s="535">
        <f t="shared" si="2"/>
        <v>1710</v>
      </c>
      <c r="Q37" s="535">
        <f t="shared" si="2"/>
        <v>1757</v>
      </c>
      <c r="R37" s="535">
        <f t="shared" si="2"/>
        <v>1453</v>
      </c>
      <c r="S37" s="535">
        <f t="shared" si="2"/>
        <v>0</v>
      </c>
      <c r="T37" s="535">
        <f t="shared" si="2"/>
        <v>0</v>
      </c>
      <c r="U37" s="535">
        <f t="shared" si="2"/>
        <v>0</v>
      </c>
      <c r="V37" s="534">
        <f>SUM(J37:U37)</f>
        <v>13943</v>
      </c>
      <c r="W37" s="537">
        <f>+V37/I37*100</f>
        <v>68.44197918711957</v>
      </c>
    </row>
    <row r="38" spans="1:23" ht="15">
      <c r="A38" s="488" t="s">
        <v>577</v>
      </c>
      <c r="B38" s="489">
        <v>32</v>
      </c>
      <c r="C38" s="440">
        <v>0</v>
      </c>
      <c r="D38" s="440">
        <v>0</v>
      </c>
      <c r="E38" s="441">
        <v>0</v>
      </c>
      <c r="F38" s="442">
        <v>0</v>
      </c>
      <c r="G38" s="442">
        <v>0</v>
      </c>
      <c r="H38" s="442">
        <v>0</v>
      </c>
      <c r="I38" s="526">
        <v>0</v>
      </c>
      <c r="J38" s="490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0"/>
      <c r="V38" s="518">
        <f aca="true" t="shared" si="3" ref="V38:V43">SUM(J38:U38)</f>
        <v>0</v>
      </c>
      <c r="W38" s="519" t="e">
        <f aca="true" t="shared" si="4" ref="W38:W43">+V38/I38*100</f>
        <v>#DIV/0!</v>
      </c>
    </row>
    <row r="39" spans="1:23" ht="15">
      <c r="A39" s="488" t="s">
        <v>579</v>
      </c>
      <c r="B39" s="489">
        <v>33</v>
      </c>
      <c r="C39" s="435">
        <v>6000</v>
      </c>
      <c r="D39" s="435">
        <v>6256</v>
      </c>
      <c r="E39" s="436">
        <v>6369</v>
      </c>
      <c r="F39" s="435">
        <v>6426</v>
      </c>
      <c r="G39" s="435">
        <v>5515</v>
      </c>
      <c r="H39" s="435">
        <v>6589</v>
      </c>
      <c r="I39" s="518">
        <v>6720</v>
      </c>
      <c r="J39" s="490">
        <v>838</v>
      </c>
      <c r="K39" s="493">
        <v>688</v>
      </c>
      <c r="L39" s="493">
        <v>772</v>
      </c>
      <c r="M39" s="493">
        <v>423</v>
      </c>
      <c r="N39" s="493">
        <v>194</v>
      </c>
      <c r="O39" s="493">
        <v>153</v>
      </c>
      <c r="P39" s="493">
        <v>102</v>
      </c>
      <c r="Q39" s="493">
        <v>918</v>
      </c>
      <c r="R39" s="493">
        <v>759</v>
      </c>
      <c r="S39" s="493"/>
      <c r="T39" s="493"/>
      <c r="U39" s="490"/>
      <c r="V39" s="518">
        <f t="shared" si="3"/>
        <v>4847</v>
      </c>
      <c r="W39" s="519">
        <f t="shared" si="4"/>
        <v>72.12797619047619</v>
      </c>
    </row>
    <row r="40" spans="1:23" ht="15">
      <c r="A40" s="488" t="s">
        <v>581</v>
      </c>
      <c r="B40" s="489">
        <v>34</v>
      </c>
      <c r="C40" s="435">
        <v>0</v>
      </c>
      <c r="D40" s="435">
        <v>0</v>
      </c>
      <c r="E40" s="436">
        <v>0</v>
      </c>
      <c r="F40" s="435">
        <v>0</v>
      </c>
      <c r="G40" s="435">
        <v>0</v>
      </c>
      <c r="H40" s="435">
        <v>0</v>
      </c>
      <c r="I40" s="518">
        <v>0</v>
      </c>
      <c r="J40" s="490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0"/>
      <c r="V40" s="518">
        <f t="shared" si="3"/>
        <v>0</v>
      </c>
      <c r="W40" s="519" t="e">
        <f t="shared" si="4"/>
        <v>#DIV/0!</v>
      </c>
    </row>
    <row r="41" spans="1:23" ht="15">
      <c r="A41" s="488" t="s">
        <v>583</v>
      </c>
      <c r="B41" s="489">
        <v>57</v>
      </c>
      <c r="C41" s="435">
        <v>8932</v>
      </c>
      <c r="D41" s="435">
        <v>7938</v>
      </c>
      <c r="E41" s="436">
        <v>8283</v>
      </c>
      <c r="F41" s="435">
        <v>15657</v>
      </c>
      <c r="G41" s="435">
        <v>12640</v>
      </c>
      <c r="H41" s="435">
        <v>11973</v>
      </c>
      <c r="I41" s="518">
        <v>13648</v>
      </c>
      <c r="J41" s="490">
        <v>992</v>
      </c>
      <c r="K41" s="493">
        <v>2201</v>
      </c>
      <c r="L41" s="493">
        <v>1500</v>
      </c>
      <c r="M41" s="493">
        <v>375</v>
      </c>
      <c r="N41" s="493">
        <v>750</v>
      </c>
      <c r="O41" s="493">
        <v>550</v>
      </c>
      <c r="P41" s="493">
        <v>2749</v>
      </c>
      <c r="Q41" s="493">
        <v>1146</v>
      </c>
      <c r="R41" s="493">
        <v>750</v>
      </c>
      <c r="S41" s="493"/>
      <c r="T41" s="493"/>
      <c r="U41" s="490"/>
      <c r="V41" s="518">
        <f t="shared" si="3"/>
        <v>11013</v>
      </c>
      <c r="W41" s="519">
        <f t="shared" si="4"/>
        <v>80.69314185228606</v>
      </c>
    </row>
    <row r="42" spans="1:23" ht="15.75" thickBot="1">
      <c r="A42" s="471" t="s">
        <v>586</v>
      </c>
      <c r="B42" s="472"/>
      <c r="C42" s="447">
        <v>40</v>
      </c>
      <c r="D42" s="447">
        <v>1313</v>
      </c>
      <c r="E42" s="448">
        <v>1270</v>
      </c>
      <c r="F42" s="449">
        <v>3</v>
      </c>
      <c r="G42" s="449">
        <v>0</v>
      </c>
      <c r="H42" s="449">
        <v>0</v>
      </c>
      <c r="I42" s="538">
        <v>2</v>
      </c>
      <c r="J42" s="446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518">
        <f t="shared" si="3"/>
        <v>0</v>
      </c>
      <c r="W42" s="519">
        <f t="shared" si="4"/>
        <v>0</v>
      </c>
    </row>
    <row r="43" spans="1:23" ht="20.25" customHeight="1" thickBot="1">
      <c r="A43" s="530" t="s">
        <v>588</v>
      </c>
      <c r="B43" s="531">
        <v>58</v>
      </c>
      <c r="C43" s="532">
        <f>SUM(C38:C42)</f>
        <v>14972</v>
      </c>
      <c r="D43" s="532">
        <v>15507</v>
      </c>
      <c r="E43" s="533">
        <v>15922</v>
      </c>
      <c r="F43" s="534">
        <v>22086</v>
      </c>
      <c r="G43" s="534">
        <v>18155</v>
      </c>
      <c r="H43" s="534">
        <v>18562</v>
      </c>
      <c r="I43" s="534">
        <f>SUM(I38:I42)</f>
        <v>20370</v>
      </c>
      <c r="J43" s="533">
        <f>SUM(J38:J42)</f>
        <v>1830</v>
      </c>
      <c r="K43" s="535">
        <f>SUM(K38:K42)</f>
        <v>2889</v>
      </c>
      <c r="L43" s="535">
        <f>SUM(L38:L42)</f>
        <v>2272</v>
      </c>
      <c r="M43" s="536">
        <f>SUM(M38:M42)</f>
        <v>798</v>
      </c>
      <c r="N43" s="535">
        <f aca="true" t="shared" si="5" ref="N43:U43">SUM(N38:N42)</f>
        <v>944</v>
      </c>
      <c r="O43" s="535">
        <f t="shared" si="5"/>
        <v>703</v>
      </c>
      <c r="P43" s="535">
        <f t="shared" si="5"/>
        <v>2851</v>
      </c>
      <c r="Q43" s="535">
        <f t="shared" si="5"/>
        <v>2064</v>
      </c>
      <c r="R43" s="535">
        <f t="shared" si="5"/>
        <v>1509</v>
      </c>
      <c r="S43" s="535">
        <f t="shared" si="5"/>
        <v>0</v>
      </c>
      <c r="T43" s="535">
        <f t="shared" si="5"/>
        <v>0</v>
      </c>
      <c r="U43" s="535">
        <f t="shared" si="5"/>
        <v>0</v>
      </c>
      <c r="V43" s="534">
        <f t="shared" si="3"/>
        <v>15860</v>
      </c>
      <c r="W43" s="537">
        <f t="shared" si="4"/>
        <v>77.85959744722632</v>
      </c>
    </row>
    <row r="44" spans="1:23" ht="6.75" customHeight="1" thickBot="1">
      <c r="A44" s="471"/>
      <c r="B44" s="472"/>
      <c r="C44" s="450"/>
      <c r="D44" s="450"/>
      <c r="E44" s="451"/>
      <c r="F44" s="452"/>
      <c r="G44" s="452"/>
      <c r="H44" s="452"/>
      <c r="I44" s="452"/>
      <c r="J44" s="496"/>
      <c r="K44" s="431"/>
      <c r="L44" s="502"/>
      <c r="M44" s="502"/>
      <c r="N44" s="431"/>
      <c r="O44" s="431"/>
      <c r="P44" s="431"/>
      <c r="Q44" s="431"/>
      <c r="R44" s="431"/>
      <c r="S44" s="431"/>
      <c r="T44" s="431"/>
      <c r="U44" s="539"/>
      <c r="V44" s="452"/>
      <c r="W44" s="529"/>
    </row>
    <row r="45" spans="1:23" ht="17.25" customHeight="1" thickBot="1">
      <c r="A45" s="530" t="s">
        <v>590</v>
      </c>
      <c r="B45" s="531"/>
      <c r="C45" s="532">
        <f>+C43-C41</f>
        <v>6040</v>
      </c>
      <c r="D45" s="532">
        <v>7569</v>
      </c>
      <c r="E45" s="533">
        <v>7639</v>
      </c>
      <c r="F45" s="534">
        <v>6429</v>
      </c>
      <c r="G45" s="534">
        <v>5515</v>
      </c>
      <c r="H45" s="534">
        <v>6589</v>
      </c>
      <c r="I45" s="534">
        <f>+I43-I41</f>
        <v>6722</v>
      </c>
      <c r="J45" s="533">
        <f aca="true" t="shared" si="6" ref="J45:U45">+J43-J41</f>
        <v>838</v>
      </c>
      <c r="K45" s="535">
        <f t="shared" si="6"/>
        <v>688</v>
      </c>
      <c r="L45" s="535">
        <f t="shared" si="6"/>
        <v>772</v>
      </c>
      <c r="M45" s="535">
        <f t="shared" si="6"/>
        <v>423</v>
      </c>
      <c r="N45" s="535">
        <f t="shared" si="6"/>
        <v>194</v>
      </c>
      <c r="O45" s="535">
        <f t="shared" si="6"/>
        <v>153</v>
      </c>
      <c r="P45" s="535">
        <f t="shared" si="6"/>
        <v>102</v>
      </c>
      <c r="Q45" s="535">
        <f t="shared" si="6"/>
        <v>918</v>
      </c>
      <c r="R45" s="535">
        <f t="shared" si="6"/>
        <v>759</v>
      </c>
      <c r="S45" s="535">
        <f t="shared" si="6"/>
        <v>0</v>
      </c>
      <c r="T45" s="535">
        <f t="shared" si="6"/>
        <v>0</v>
      </c>
      <c r="U45" s="532">
        <f t="shared" si="6"/>
        <v>0</v>
      </c>
      <c r="V45" s="534">
        <f>SUM(J45:U45)</f>
        <v>4847</v>
      </c>
      <c r="W45" s="537">
        <f>+V45/I45*100</f>
        <v>72.10651591788158</v>
      </c>
    </row>
    <row r="46" spans="1:23" ht="19.5" customHeight="1" thickBot="1">
      <c r="A46" s="530" t="s">
        <v>591</v>
      </c>
      <c r="B46" s="531">
        <v>59</v>
      </c>
      <c r="C46" s="532">
        <f>+C43-C37</f>
        <v>0</v>
      </c>
      <c r="D46" s="532">
        <v>12</v>
      </c>
      <c r="E46" s="533">
        <v>-7</v>
      </c>
      <c r="F46" s="534">
        <v>0</v>
      </c>
      <c r="G46" s="534">
        <v>109</v>
      </c>
      <c r="H46" s="534">
        <v>-1202</v>
      </c>
      <c r="I46" s="534">
        <f>+I43-I37</f>
        <v>-2</v>
      </c>
      <c r="J46" s="533">
        <f aca="true" t="shared" si="7" ref="J46:U46">+J43-J37</f>
        <v>-21</v>
      </c>
      <c r="K46" s="535">
        <f t="shared" si="7"/>
        <v>1419</v>
      </c>
      <c r="L46" s="535">
        <f t="shared" si="7"/>
        <v>277</v>
      </c>
      <c r="M46" s="535">
        <f t="shared" si="7"/>
        <v>-498</v>
      </c>
      <c r="N46" s="535">
        <f t="shared" si="7"/>
        <v>-228</v>
      </c>
      <c r="O46" s="535">
        <f t="shared" si="7"/>
        <v>-536</v>
      </c>
      <c r="P46" s="535">
        <f t="shared" si="7"/>
        <v>1141</v>
      </c>
      <c r="Q46" s="535">
        <f t="shared" si="7"/>
        <v>307</v>
      </c>
      <c r="R46" s="535">
        <f t="shared" si="7"/>
        <v>56</v>
      </c>
      <c r="S46" s="535">
        <f t="shared" si="7"/>
        <v>0</v>
      </c>
      <c r="T46" s="535">
        <f t="shared" si="7"/>
        <v>0</v>
      </c>
      <c r="U46" s="536">
        <f t="shared" si="7"/>
        <v>0</v>
      </c>
      <c r="V46" s="534">
        <f>SUM(V43-V37)</f>
        <v>1917</v>
      </c>
      <c r="W46" s="537">
        <f>+V46/I46*100</f>
        <v>-95850</v>
      </c>
    </row>
    <row r="47" spans="1:23" ht="19.5" customHeight="1" thickBot="1">
      <c r="A47" s="530" t="s">
        <v>593</v>
      </c>
      <c r="B47" s="540" t="s">
        <v>609</v>
      </c>
      <c r="C47" s="532">
        <f>+C46-C41</f>
        <v>-8932</v>
      </c>
      <c r="D47" s="532">
        <v>-7926</v>
      </c>
      <c r="E47" s="533">
        <v>-8290</v>
      </c>
      <c r="F47" s="534">
        <v>-15657</v>
      </c>
      <c r="G47" s="534">
        <v>-12531</v>
      </c>
      <c r="H47" s="534">
        <v>-13175</v>
      </c>
      <c r="I47" s="534">
        <f>+I46-I41</f>
        <v>-13650</v>
      </c>
      <c r="J47" s="541">
        <f aca="true" t="shared" si="8" ref="J47:U47">+J46-J41</f>
        <v>-1013</v>
      </c>
      <c r="K47" s="535">
        <f t="shared" si="8"/>
        <v>-782</v>
      </c>
      <c r="L47" s="535">
        <f t="shared" si="8"/>
        <v>-1223</v>
      </c>
      <c r="M47" s="535">
        <f t="shared" si="8"/>
        <v>-873</v>
      </c>
      <c r="N47" s="535">
        <f t="shared" si="8"/>
        <v>-978</v>
      </c>
      <c r="O47" s="535">
        <f t="shared" si="8"/>
        <v>-1086</v>
      </c>
      <c r="P47" s="535">
        <f t="shared" si="8"/>
        <v>-1608</v>
      </c>
      <c r="Q47" s="535">
        <f t="shared" si="8"/>
        <v>-839</v>
      </c>
      <c r="R47" s="535">
        <f t="shared" si="8"/>
        <v>-694</v>
      </c>
      <c r="S47" s="535">
        <f t="shared" si="8"/>
        <v>0</v>
      </c>
      <c r="T47" s="535">
        <f t="shared" si="8"/>
        <v>0</v>
      </c>
      <c r="U47" s="532">
        <f t="shared" si="8"/>
        <v>0</v>
      </c>
      <c r="V47" s="534">
        <f>SUM(J47:U47)</f>
        <v>-9096</v>
      </c>
      <c r="W47" s="537">
        <f>+V47/I47*100</f>
        <v>66.63736263736264</v>
      </c>
    </row>
    <row r="49" ht="12.75">
      <c r="B49" s="542"/>
    </row>
  </sheetData>
  <sheetProtection/>
  <printOptions/>
  <pageMargins left="0.7086614173228347" right="0.31496062992125984" top="0.5905511811023623" bottom="0.5905511811023623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W43" sqref="W43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6.421875" style="576" customWidth="1"/>
    <col min="6" max="6" width="11.7109375" style="108" hidden="1" customWidth="1"/>
    <col min="7" max="7" width="11.57421875" style="108" hidden="1" customWidth="1"/>
    <col min="8" max="8" width="11.57421875" style="108" customWidth="1"/>
    <col min="9" max="10" width="11.421875" style="108" customWidth="1"/>
    <col min="11" max="18" width="9.140625" style="108" customWidth="1"/>
    <col min="19" max="19" width="9.28125" style="108" hidden="1" customWidth="1"/>
    <col min="20" max="21" width="0" style="108" hidden="1" customWidth="1"/>
    <col min="22" max="23" width="9.140625" style="108" customWidth="1"/>
    <col min="24" max="24" width="9.00390625" style="576" customWidth="1"/>
    <col min="25" max="16384" width="9.140625" style="108" customWidth="1"/>
  </cols>
  <sheetData>
    <row r="1" spans="1:24" s="544" customFormat="1" ht="18">
      <c r="A1" s="718" t="s">
        <v>594</v>
      </c>
      <c r="E1" s="719"/>
      <c r="J1" s="454"/>
      <c r="X1" s="719"/>
    </row>
    <row r="2" spans="1:10" ht="21.75" customHeight="1">
      <c r="A2" s="454" t="s">
        <v>595</v>
      </c>
      <c r="B2" s="116" t="s">
        <v>514</v>
      </c>
      <c r="J2" s="453"/>
    </row>
    <row r="3" spans="1:10" ht="12.75">
      <c r="A3" s="453"/>
      <c r="J3" s="453"/>
    </row>
    <row r="4" spans="2:10" ht="13.5" thickBot="1">
      <c r="B4" s="186"/>
      <c r="C4" s="186"/>
      <c r="D4" s="186"/>
      <c r="E4" s="577"/>
      <c r="F4" s="186"/>
      <c r="G4" s="186"/>
      <c r="J4" s="453"/>
    </row>
    <row r="5" spans="1:10" ht="16.5" thickBot="1">
      <c r="A5" s="458" t="s">
        <v>492</v>
      </c>
      <c r="B5" s="578" t="s">
        <v>610</v>
      </c>
      <c r="C5" s="579"/>
      <c r="D5" s="579"/>
      <c r="E5" s="580"/>
      <c r="F5" s="579"/>
      <c r="G5" s="581"/>
      <c r="H5" s="545"/>
      <c r="I5" s="545"/>
      <c r="J5" s="458"/>
    </row>
    <row r="6" spans="1:10" ht="23.25" customHeight="1" thickBot="1">
      <c r="A6" s="453" t="s">
        <v>494</v>
      </c>
      <c r="J6" s="453"/>
    </row>
    <row r="7" spans="1:24" ht="15">
      <c r="A7" s="582"/>
      <c r="B7" s="583"/>
      <c r="C7" s="583"/>
      <c r="D7" s="583"/>
      <c r="E7" s="584"/>
      <c r="F7" s="583"/>
      <c r="G7" s="585"/>
      <c r="H7" s="585"/>
      <c r="I7" s="586" t="s">
        <v>29</v>
      </c>
      <c r="J7" s="587"/>
      <c r="K7" s="588"/>
      <c r="L7" s="588"/>
      <c r="M7" s="588"/>
      <c r="N7" s="588"/>
      <c r="O7" s="589" t="s">
        <v>495</v>
      </c>
      <c r="P7" s="588"/>
      <c r="Q7" s="588"/>
      <c r="R7" s="588"/>
      <c r="S7" s="588"/>
      <c r="T7" s="588"/>
      <c r="U7" s="588"/>
      <c r="V7" s="586" t="s">
        <v>496</v>
      </c>
      <c r="W7" s="590" t="s">
        <v>497</v>
      </c>
      <c r="X7" s="108"/>
    </row>
    <row r="8" spans="1:24" ht="13.5" thickBot="1">
      <c r="A8" s="591" t="s">
        <v>27</v>
      </c>
      <c r="B8" s="592" t="s">
        <v>498</v>
      </c>
      <c r="C8" s="592" t="s">
        <v>499</v>
      </c>
      <c r="D8" s="592" t="s">
        <v>500</v>
      </c>
      <c r="E8" s="592" t="s">
        <v>501</v>
      </c>
      <c r="F8" s="592" t="s">
        <v>502</v>
      </c>
      <c r="G8" s="593" t="s">
        <v>503</v>
      </c>
      <c r="H8" s="593" t="s">
        <v>611</v>
      </c>
      <c r="I8" s="594">
        <v>2013</v>
      </c>
      <c r="J8" s="595" t="s">
        <v>506</v>
      </c>
      <c r="K8" s="596" t="s">
        <v>507</v>
      </c>
      <c r="L8" s="596" t="s">
        <v>508</v>
      </c>
      <c r="M8" s="596" t="s">
        <v>509</v>
      </c>
      <c r="N8" s="596" t="s">
        <v>510</v>
      </c>
      <c r="O8" s="596" t="s">
        <v>511</v>
      </c>
      <c r="P8" s="596" t="s">
        <v>512</v>
      </c>
      <c r="Q8" s="596" t="s">
        <v>513</v>
      </c>
      <c r="R8" s="596" t="s">
        <v>514</v>
      </c>
      <c r="S8" s="596" t="s">
        <v>515</v>
      </c>
      <c r="T8" s="596" t="s">
        <v>516</v>
      </c>
      <c r="U8" s="595" t="s">
        <v>517</v>
      </c>
      <c r="V8" s="594" t="s">
        <v>518</v>
      </c>
      <c r="W8" s="597" t="s">
        <v>519</v>
      </c>
      <c r="X8" s="108"/>
    </row>
    <row r="9" spans="1:24" ht="12.75">
      <c r="A9" s="598" t="s">
        <v>520</v>
      </c>
      <c r="B9" s="599"/>
      <c r="C9" s="600">
        <v>104</v>
      </c>
      <c r="D9" s="600">
        <v>104</v>
      </c>
      <c r="E9" s="546"/>
      <c r="F9" s="547">
        <v>12</v>
      </c>
      <c r="G9" s="548">
        <v>11</v>
      </c>
      <c r="H9" s="548">
        <v>13</v>
      </c>
      <c r="I9" s="601"/>
      <c r="J9" s="602">
        <v>14</v>
      </c>
      <c r="K9" s="548">
        <v>16</v>
      </c>
      <c r="L9" s="548">
        <v>16</v>
      </c>
      <c r="M9" s="548">
        <v>16</v>
      </c>
      <c r="N9" s="549">
        <v>16</v>
      </c>
      <c r="O9" s="549">
        <v>17</v>
      </c>
      <c r="P9" s="549">
        <v>21</v>
      </c>
      <c r="Q9" s="549">
        <v>17</v>
      </c>
      <c r="R9" s="549">
        <v>15</v>
      </c>
      <c r="S9" s="549"/>
      <c r="T9" s="549"/>
      <c r="U9" s="549"/>
      <c r="V9" s="603" t="s">
        <v>521</v>
      </c>
      <c r="W9" s="604" t="s">
        <v>521</v>
      </c>
      <c r="X9" s="108"/>
    </row>
    <row r="10" spans="1:24" ht="13.5" thickBot="1">
      <c r="A10" s="605" t="s">
        <v>522</v>
      </c>
      <c r="B10" s="606"/>
      <c r="C10" s="607">
        <v>101</v>
      </c>
      <c r="D10" s="607">
        <v>104</v>
      </c>
      <c r="E10" s="608"/>
      <c r="F10" s="607">
        <v>10.5</v>
      </c>
      <c r="G10" s="609">
        <v>9.5</v>
      </c>
      <c r="H10" s="609">
        <v>10.5</v>
      </c>
      <c r="I10" s="610"/>
      <c r="J10" s="609">
        <v>11.5</v>
      </c>
      <c r="K10" s="611">
        <v>12.5</v>
      </c>
      <c r="L10" s="612">
        <v>12.5</v>
      </c>
      <c r="M10" s="612">
        <v>12.5</v>
      </c>
      <c r="N10" s="611">
        <v>12.5</v>
      </c>
      <c r="O10" s="611">
        <v>13</v>
      </c>
      <c r="P10" s="611">
        <v>15</v>
      </c>
      <c r="Q10" s="611">
        <v>13</v>
      </c>
      <c r="R10" s="611">
        <v>11.5</v>
      </c>
      <c r="S10" s="611"/>
      <c r="T10" s="611"/>
      <c r="U10" s="609"/>
      <c r="V10" s="613"/>
      <c r="W10" s="614" t="s">
        <v>521</v>
      </c>
      <c r="X10" s="108"/>
    </row>
    <row r="11" spans="1:24" ht="12.75">
      <c r="A11" s="615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619">
        <v>4414</v>
      </c>
      <c r="G11" s="620">
        <v>5262</v>
      </c>
      <c r="H11" s="620">
        <v>6039</v>
      </c>
      <c r="I11" s="621" t="s">
        <v>521</v>
      </c>
      <c r="J11" s="622">
        <v>7075</v>
      </c>
      <c r="K11" s="623">
        <v>7081</v>
      </c>
      <c r="L11" s="624">
        <v>7099</v>
      </c>
      <c r="M11" s="624">
        <v>7099</v>
      </c>
      <c r="N11" s="623">
        <v>7202</v>
      </c>
      <c r="O11" s="623">
        <v>7258</v>
      </c>
      <c r="P11" s="625">
        <v>7513</v>
      </c>
      <c r="Q11" s="625">
        <v>7639</v>
      </c>
      <c r="R11" s="625">
        <v>7639</v>
      </c>
      <c r="S11" s="625"/>
      <c r="T11" s="625"/>
      <c r="U11" s="620"/>
      <c r="V11" s="626" t="s">
        <v>521</v>
      </c>
      <c r="W11" s="627" t="s">
        <v>521</v>
      </c>
      <c r="X11" s="108"/>
    </row>
    <row r="12" spans="1:24" ht="12.75">
      <c r="A12" s="628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619">
        <v>-4195</v>
      </c>
      <c r="G12" s="620">
        <v>-4392</v>
      </c>
      <c r="H12" s="620">
        <v>-4930</v>
      </c>
      <c r="I12" s="626" t="s">
        <v>521</v>
      </c>
      <c r="J12" s="631">
        <v>-5549</v>
      </c>
      <c r="K12" s="632">
        <v>-5574</v>
      </c>
      <c r="L12" s="633">
        <v>-5612</v>
      </c>
      <c r="M12" s="633">
        <v>-5750</v>
      </c>
      <c r="N12" s="623">
        <v>-5871</v>
      </c>
      <c r="O12" s="623">
        <v>-6028</v>
      </c>
      <c r="P12" s="625">
        <v>-6050</v>
      </c>
      <c r="Q12" s="625">
        <v>-6077</v>
      </c>
      <c r="R12" s="625">
        <v>-6094</v>
      </c>
      <c r="S12" s="625"/>
      <c r="T12" s="625"/>
      <c r="U12" s="620"/>
      <c r="V12" s="626" t="s">
        <v>521</v>
      </c>
      <c r="W12" s="627" t="s">
        <v>521</v>
      </c>
      <c r="X12" s="108"/>
    </row>
    <row r="13" spans="1:24" ht="12.75">
      <c r="A13" s="628" t="s">
        <v>529</v>
      </c>
      <c r="B13" s="629" t="s">
        <v>530</v>
      </c>
      <c r="C13" s="630">
        <v>604</v>
      </c>
      <c r="D13" s="630">
        <v>619</v>
      </c>
      <c r="E13" s="618" t="s">
        <v>531</v>
      </c>
      <c r="F13" s="619">
        <v>42</v>
      </c>
      <c r="G13" s="620">
        <v>94</v>
      </c>
      <c r="H13" s="620">
        <v>49</v>
      </c>
      <c r="I13" s="626" t="s">
        <v>521</v>
      </c>
      <c r="J13" s="631">
        <v>34</v>
      </c>
      <c r="K13" s="632">
        <v>34</v>
      </c>
      <c r="L13" s="633">
        <v>34</v>
      </c>
      <c r="M13" s="633">
        <v>34</v>
      </c>
      <c r="N13" s="623">
        <v>34</v>
      </c>
      <c r="O13" s="623">
        <v>36</v>
      </c>
      <c r="P13" s="625">
        <v>36</v>
      </c>
      <c r="Q13" s="625">
        <v>36</v>
      </c>
      <c r="R13" s="625">
        <v>36</v>
      </c>
      <c r="S13" s="625"/>
      <c r="T13" s="625"/>
      <c r="U13" s="620"/>
      <c r="V13" s="626" t="s">
        <v>521</v>
      </c>
      <c r="W13" s="627" t="s">
        <v>521</v>
      </c>
      <c r="X13" s="108"/>
    </row>
    <row r="14" spans="1:24" ht="12.75">
      <c r="A14" s="628" t="s">
        <v>532</v>
      </c>
      <c r="B14" s="629" t="s">
        <v>533</v>
      </c>
      <c r="C14" s="630">
        <v>221</v>
      </c>
      <c r="D14" s="630">
        <v>610</v>
      </c>
      <c r="E14" s="618" t="s">
        <v>521</v>
      </c>
      <c r="F14" s="619">
        <v>865</v>
      </c>
      <c r="G14" s="620">
        <v>649</v>
      </c>
      <c r="H14" s="620">
        <v>673</v>
      </c>
      <c r="I14" s="626" t="s">
        <v>521</v>
      </c>
      <c r="J14" s="631">
        <v>6860</v>
      </c>
      <c r="K14" s="632">
        <v>6709</v>
      </c>
      <c r="L14" s="633">
        <v>6533</v>
      </c>
      <c r="M14" s="633">
        <v>6517</v>
      </c>
      <c r="N14" s="623">
        <v>5945</v>
      </c>
      <c r="O14" s="623">
        <v>6532</v>
      </c>
      <c r="P14" s="625">
        <v>6925</v>
      </c>
      <c r="Q14" s="625">
        <v>7030</v>
      </c>
      <c r="R14" s="625">
        <v>2225</v>
      </c>
      <c r="S14" s="625"/>
      <c r="T14" s="625"/>
      <c r="U14" s="620"/>
      <c r="V14" s="626" t="s">
        <v>521</v>
      </c>
      <c r="W14" s="627" t="s">
        <v>521</v>
      </c>
      <c r="X14" s="108"/>
    </row>
    <row r="15" spans="1:24" ht="13.5" thickBot="1">
      <c r="A15" s="598" t="s">
        <v>534</v>
      </c>
      <c r="B15" s="634" t="s">
        <v>535</v>
      </c>
      <c r="C15" s="635">
        <v>2021</v>
      </c>
      <c r="D15" s="635">
        <v>852</v>
      </c>
      <c r="E15" s="550" t="s">
        <v>536</v>
      </c>
      <c r="F15" s="551">
        <v>765</v>
      </c>
      <c r="G15" s="552">
        <v>933</v>
      </c>
      <c r="H15" s="552">
        <v>723</v>
      </c>
      <c r="I15" s="636" t="s">
        <v>521</v>
      </c>
      <c r="J15" s="336">
        <v>843</v>
      </c>
      <c r="K15" s="637">
        <v>1192</v>
      </c>
      <c r="L15" s="638">
        <v>1360</v>
      </c>
      <c r="M15" s="638">
        <v>1165</v>
      </c>
      <c r="N15" s="637">
        <v>1903</v>
      </c>
      <c r="O15" s="637">
        <v>1592</v>
      </c>
      <c r="P15" s="553">
        <v>855</v>
      </c>
      <c r="Q15" s="553">
        <v>687</v>
      </c>
      <c r="R15" s="553">
        <v>729</v>
      </c>
      <c r="S15" s="553"/>
      <c r="T15" s="553"/>
      <c r="U15" s="553"/>
      <c r="V15" s="639" t="s">
        <v>521</v>
      </c>
      <c r="W15" s="604" t="s">
        <v>521</v>
      </c>
      <c r="X15" s="108"/>
    </row>
    <row r="16" spans="1:24" ht="13.5" thickBot="1">
      <c r="A16" s="640" t="s">
        <v>537</v>
      </c>
      <c r="B16" s="641"/>
      <c r="C16" s="642">
        <v>24618</v>
      </c>
      <c r="D16" s="642">
        <v>24087</v>
      </c>
      <c r="E16" s="643"/>
      <c r="F16" s="644">
        <v>1893</v>
      </c>
      <c r="G16" s="645">
        <v>2546</v>
      </c>
      <c r="H16" s="645">
        <v>2553</v>
      </c>
      <c r="I16" s="646" t="s">
        <v>521</v>
      </c>
      <c r="J16" s="647">
        <f>SUM(J11:J15)</f>
        <v>9263</v>
      </c>
      <c r="K16" s="648">
        <f>SUM(K11:K15)</f>
        <v>9442</v>
      </c>
      <c r="L16" s="649">
        <f>SUM(L11:L15)</f>
        <v>9414</v>
      </c>
      <c r="M16" s="649">
        <v>9065</v>
      </c>
      <c r="N16" s="650">
        <v>9214</v>
      </c>
      <c r="O16" s="650">
        <v>9390</v>
      </c>
      <c r="P16" s="651">
        <v>9279</v>
      </c>
      <c r="Q16" s="651">
        <v>9135</v>
      </c>
      <c r="R16" s="651">
        <v>4535</v>
      </c>
      <c r="S16" s="651"/>
      <c r="T16" s="651"/>
      <c r="U16" s="645"/>
      <c r="V16" s="646" t="s">
        <v>521</v>
      </c>
      <c r="W16" s="652" t="s">
        <v>521</v>
      </c>
      <c r="X16" s="108"/>
    </row>
    <row r="17" spans="1:24" ht="12.75">
      <c r="A17" s="59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551">
        <v>220</v>
      </c>
      <c r="G17" s="552">
        <v>1005</v>
      </c>
      <c r="H17" s="552">
        <v>1108</v>
      </c>
      <c r="I17" s="621" t="s">
        <v>521</v>
      </c>
      <c r="J17" s="336">
        <v>1526</v>
      </c>
      <c r="K17" s="637">
        <v>1506</v>
      </c>
      <c r="L17" s="638">
        <v>1487</v>
      </c>
      <c r="M17" s="638">
        <v>1349</v>
      </c>
      <c r="N17" s="637">
        <v>1768</v>
      </c>
      <c r="O17" s="637">
        <v>1230</v>
      </c>
      <c r="P17" s="553">
        <v>1222</v>
      </c>
      <c r="Q17" s="553">
        <v>1595</v>
      </c>
      <c r="R17" s="553">
        <v>1544</v>
      </c>
      <c r="S17" s="553"/>
      <c r="T17" s="553"/>
      <c r="U17" s="553"/>
      <c r="V17" s="639" t="s">
        <v>521</v>
      </c>
      <c r="W17" s="604" t="s">
        <v>521</v>
      </c>
      <c r="X17" s="108"/>
    </row>
    <row r="18" spans="1:24" ht="12.75">
      <c r="A18" s="628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619">
        <v>656</v>
      </c>
      <c r="G18" s="620">
        <v>133</v>
      </c>
      <c r="H18" s="620">
        <v>251</v>
      </c>
      <c r="I18" s="626" t="s">
        <v>521</v>
      </c>
      <c r="J18" s="622">
        <v>72</v>
      </c>
      <c r="K18" s="623">
        <v>91</v>
      </c>
      <c r="L18" s="624">
        <v>112</v>
      </c>
      <c r="M18" s="624">
        <v>211</v>
      </c>
      <c r="N18" s="623">
        <v>240</v>
      </c>
      <c r="O18" s="623">
        <v>580</v>
      </c>
      <c r="P18" s="625">
        <v>587</v>
      </c>
      <c r="Q18" s="625">
        <v>214</v>
      </c>
      <c r="R18" s="625">
        <v>267</v>
      </c>
      <c r="S18" s="625"/>
      <c r="T18" s="625"/>
      <c r="U18" s="620"/>
      <c r="V18" s="626" t="s">
        <v>521</v>
      </c>
      <c r="W18" s="627" t="s">
        <v>521</v>
      </c>
      <c r="X18" s="108"/>
    </row>
    <row r="19" spans="1:24" ht="12.75">
      <c r="A19" s="628" t="s">
        <v>543</v>
      </c>
      <c r="B19" s="629" t="s">
        <v>544</v>
      </c>
      <c r="C19" s="630">
        <v>14718</v>
      </c>
      <c r="D19" s="630">
        <v>14718</v>
      </c>
      <c r="E19" s="618" t="s">
        <v>521</v>
      </c>
      <c r="F19" s="619">
        <v>0</v>
      </c>
      <c r="G19" s="620">
        <v>0</v>
      </c>
      <c r="H19" s="620">
        <v>0</v>
      </c>
      <c r="I19" s="626" t="s">
        <v>521</v>
      </c>
      <c r="J19" s="631">
        <v>0</v>
      </c>
      <c r="K19" s="632">
        <v>0</v>
      </c>
      <c r="L19" s="633">
        <v>0</v>
      </c>
      <c r="M19" s="633">
        <v>0</v>
      </c>
      <c r="N19" s="623">
        <v>0</v>
      </c>
      <c r="O19" s="623">
        <v>0</v>
      </c>
      <c r="P19" s="625">
        <v>0</v>
      </c>
      <c r="Q19" s="625">
        <v>0</v>
      </c>
      <c r="R19" s="625">
        <v>0</v>
      </c>
      <c r="S19" s="625"/>
      <c r="T19" s="625"/>
      <c r="U19" s="620"/>
      <c r="V19" s="626" t="s">
        <v>521</v>
      </c>
      <c r="W19" s="627" t="s">
        <v>521</v>
      </c>
      <c r="X19" s="108"/>
    </row>
    <row r="20" spans="1:24" ht="12.75">
      <c r="A20" s="628" t="s">
        <v>545</v>
      </c>
      <c r="B20" s="629" t="s">
        <v>546</v>
      </c>
      <c r="C20" s="630">
        <v>1758</v>
      </c>
      <c r="D20" s="630">
        <v>1762</v>
      </c>
      <c r="E20" s="618" t="s">
        <v>521</v>
      </c>
      <c r="F20" s="619">
        <v>636</v>
      </c>
      <c r="G20" s="620">
        <v>1541</v>
      </c>
      <c r="H20" s="620">
        <v>1146</v>
      </c>
      <c r="I20" s="626" t="s">
        <v>521</v>
      </c>
      <c r="J20" s="631">
        <v>7426</v>
      </c>
      <c r="K20" s="632">
        <v>7449</v>
      </c>
      <c r="L20" s="633">
        <v>7611</v>
      </c>
      <c r="M20" s="633">
        <v>7529</v>
      </c>
      <c r="N20" s="623">
        <v>7446</v>
      </c>
      <c r="O20" s="623">
        <v>7381</v>
      </c>
      <c r="P20" s="625">
        <v>7375</v>
      </c>
      <c r="Q20" s="625">
        <v>7754</v>
      </c>
      <c r="R20" s="625">
        <v>2580</v>
      </c>
      <c r="S20" s="625"/>
      <c r="T20" s="625"/>
      <c r="U20" s="620"/>
      <c r="V20" s="626" t="s">
        <v>521</v>
      </c>
      <c r="W20" s="627" t="s">
        <v>521</v>
      </c>
      <c r="X20" s="108"/>
    </row>
    <row r="21" spans="1:24" ht="13.5" thickBot="1">
      <c r="A21" s="605" t="s">
        <v>547</v>
      </c>
      <c r="B21" s="653" t="s">
        <v>548</v>
      </c>
      <c r="C21" s="654">
        <v>0</v>
      </c>
      <c r="D21" s="654">
        <v>0</v>
      </c>
      <c r="E21" s="655" t="s">
        <v>521</v>
      </c>
      <c r="F21" s="619">
        <v>0</v>
      </c>
      <c r="G21" s="620">
        <v>0</v>
      </c>
      <c r="H21" s="620">
        <v>0</v>
      </c>
      <c r="I21" s="656" t="s">
        <v>521</v>
      </c>
      <c r="J21" s="631">
        <v>0</v>
      </c>
      <c r="K21" s="632">
        <v>0</v>
      </c>
      <c r="L21" s="633">
        <v>0</v>
      </c>
      <c r="M21" s="633">
        <v>0</v>
      </c>
      <c r="N21" s="623">
        <v>0</v>
      </c>
      <c r="O21" s="623">
        <v>0</v>
      </c>
      <c r="P21" s="625">
        <v>0</v>
      </c>
      <c r="Q21" s="625">
        <v>0</v>
      </c>
      <c r="R21" s="625">
        <v>0</v>
      </c>
      <c r="S21" s="625"/>
      <c r="T21" s="625"/>
      <c r="U21" s="620"/>
      <c r="V21" s="636" t="s">
        <v>521</v>
      </c>
      <c r="W21" s="657" t="s">
        <v>521</v>
      </c>
      <c r="X21" s="108"/>
    </row>
    <row r="22" spans="1:24" ht="15">
      <c r="A22" s="65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555">
        <v>9399</v>
      </c>
      <c r="G22" s="659">
        <v>13770</v>
      </c>
      <c r="H22" s="659">
        <v>6434</v>
      </c>
      <c r="I22" s="660">
        <v>6850</v>
      </c>
      <c r="J22" s="661">
        <v>570</v>
      </c>
      <c r="K22" s="662">
        <v>570</v>
      </c>
      <c r="L22" s="663">
        <v>570</v>
      </c>
      <c r="M22" s="663">
        <v>570</v>
      </c>
      <c r="N22" s="663">
        <v>743</v>
      </c>
      <c r="O22" s="663">
        <v>865</v>
      </c>
      <c r="P22" s="663">
        <v>275</v>
      </c>
      <c r="Q22" s="663">
        <v>570</v>
      </c>
      <c r="R22" s="663">
        <v>570</v>
      </c>
      <c r="S22" s="663"/>
      <c r="T22" s="663"/>
      <c r="U22" s="659"/>
      <c r="V22" s="664">
        <f aca="true" t="shared" si="0" ref="V22:V40">SUM(J22:U22)</f>
        <v>5303</v>
      </c>
      <c r="W22" s="665">
        <f>IF(I22&lt;&gt;0,+V22/I22*100,"   ???")</f>
        <v>77.41605839416059</v>
      </c>
      <c r="X22" s="108"/>
    </row>
    <row r="23" spans="1:24" ht="15">
      <c r="A23" s="628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557">
        <v>0</v>
      </c>
      <c r="G23" s="620">
        <v>651</v>
      </c>
      <c r="H23" s="620">
        <v>366</v>
      </c>
      <c r="I23" s="666"/>
      <c r="J23" s="667">
        <v>0</v>
      </c>
      <c r="K23" s="668">
        <v>0</v>
      </c>
      <c r="L23" s="625">
        <v>0</v>
      </c>
      <c r="M23" s="625">
        <v>0</v>
      </c>
      <c r="N23" s="625">
        <v>0</v>
      </c>
      <c r="O23" s="625">
        <v>295</v>
      </c>
      <c r="P23" s="625">
        <v>0</v>
      </c>
      <c r="Q23" s="625">
        <v>0</v>
      </c>
      <c r="R23" s="625">
        <v>0</v>
      </c>
      <c r="S23" s="625"/>
      <c r="T23" s="625"/>
      <c r="U23" s="620"/>
      <c r="V23" s="669">
        <f t="shared" si="0"/>
        <v>295</v>
      </c>
      <c r="W23" s="670">
        <v>0</v>
      </c>
      <c r="X23" s="108"/>
    </row>
    <row r="24" spans="1:24" ht="15.75" thickBot="1">
      <c r="A24" s="605" t="s">
        <v>553</v>
      </c>
      <c r="B24" s="653" t="s">
        <v>552</v>
      </c>
      <c r="C24" s="654">
        <v>0</v>
      </c>
      <c r="D24" s="654">
        <v>1215</v>
      </c>
      <c r="E24" s="558">
        <v>672</v>
      </c>
      <c r="F24" s="559">
        <v>6586</v>
      </c>
      <c r="G24" s="552">
        <v>11720</v>
      </c>
      <c r="H24" s="552">
        <v>6068</v>
      </c>
      <c r="I24" s="671">
        <v>6850</v>
      </c>
      <c r="J24" s="376">
        <v>570</v>
      </c>
      <c r="K24" s="672">
        <v>570</v>
      </c>
      <c r="L24" s="553">
        <v>570</v>
      </c>
      <c r="M24" s="553">
        <v>570</v>
      </c>
      <c r="N24" s="553">
        <v>743</v>
      </c>
      <c r="O24" s="553">
        <v>570</v>
      </c>
      <c r="P24" s="553">
        <v>275</v>
      </c>
      <c r="Q24" s="553">
        <v>570</v>
      </c>
      <c r="R24" s="553">
        <v>570</v>
      </c>
      <c r="S24" s="553"/>
      <c r="T24" s="553"/>
      <c r="U24" s="553"/>
      <c r="V24" s="673">
        <f t="shared" si="0"/>
        <v>5008</v>
      </c>
      <c r="W24" s="674">
        <f aca="true" t="shared" si="1" ref="W24:W31">IF(I24&lt;&gt;0,+V24/I24*100,"   ???")</f>
        <v>73.10948905109488</v>
      </c>
      <c r="X24" s="108"/>
    </row>
    <row r="25" spans="1:24" ht="15">
      <c r="A25" s="615" t="s">
        <v>554</v>
      </c>
      <c r="B25" s="616" t="s">
        <v>555</v>
      </c>
      <c r="C25" s="617">
        <v>6341</v>
      </c>
      <c r="D25" s="617">
        <v>6960</v>
      </c>
      <c r="E25" s="554">
        <v>501</v>
      </c>
      <c r="F25" s="560">
        <v>552</v>
      </c>
      <c r="G25" s="675">
        <v>357</v>
      </c>
      <c r="H25" s="675">
        <v>796</v>
      </c>
      <c r="I25" s="676">
        <v>400</v>
      </c>
      <c r="J25" s="677">
        <v>46</v>
      </c>
      <c r="K25" s="662">
        <v>12</v>
      </c>
      <c r="L25" s="662">
        <v>9</v>
      </c>
      <c r="M25" s="662">
        <v>49</v>
      </c>
      <c r="N25" s="662">
        <v>33</v>
      </c>
      <c r="O25" s="662">
        <v>43</v>
      </c>
      <c r="P25" s="662">
        <v>42</v>
      </c>
      <c r="Q25" s="662">
        <v>60</v>
      </c>
      <c r="R25" s="662">
        <v>21</v>
      </c>
      <c r="S25" s="662"/>
      <c r="T25" s="662"/>
      <c r="U25" s="678"/>
      <c r="V25" s="679">
        <f t="shared" si="0"/>
        <v>315</v>
      </c>
      <c r="W25" s="680">
        <f t="shared" si="1"/>
        <v>78.75</v>
      </c>
      <c r="X25" s="108"/>
    </row>
    <row r="26" spans="1:24" ht="15">
      <c r="A26" s="628" t="s">
        <v>556</v>
      </c>
      <c r="B26" s="629" t="s">
        <v>557</v>
      </c>
      <c r="C26" s="630">
        <v>1745</v>
      </c>
      <c r="D26" s="630">
        <v>2223</v>
      </c>
      <c r="E26" s="556">
        <v>502</v>
      </c>
      <c r="F26" s="557">
        <v>673</v>
      </c>
      <c r="G26" s="681">
        <v>954</v>
      </c>
      <c r="H26" s="681">
        <v>946</v>
      </c>
      <c r="I26" s="682">
        <v>1400</v>
      </c>
      <c r="J26" s="683">
        <v>65</v>
      </c>
      <c r="K26" s="625">
        <v>59</v>
      </c>
      <c r="L26" s="625">
        <v>212</v>
      </c>
      <c r="M26" s="625">
        <v>70</v>
      </c>
      <c r="N26" s="625">
        <v>119</v>
      </c>
      <c r="O26" s="625">
        <v>-248</v>
      </c>
      <c r="P26" s="625">
        <v>81</v>
      </c>
      <c r="Q26" s="625">
        <v>73</v>
      </c>
      <c r="R26" s="625">
        <v>-120</v>
      </c>
      <c r="S26" s="625"/>
      <c r="T26" s="625"/>
      <c r="U26" s="681"/>
      <c r="V26" s="679">
        <f t="shared" si="0"/>
        <v>311</v>
      </c>
      <c r="W26" s="670">
        <f t="shared" si="1"/>
        <v>22.214285714285715</v>
      </c>
      <c r="X26" s="108"/>
    </row>
    <row r="27" spans="1:24" ht="15">
      <c r="A27" s="628" t="s">
        <v>558</v>
      </c>
      <c r="B27" s="629" t="s">
        <v>559</v>
      </c>
      <c r="C27" s="630">
        <v>0</v>
      </c>
      <c r="D27" s="630">
        <v>0</v>
      </c>
      <c r="E27" s="556">
        <v>544</v>
      </c>
      <c r="F27" s="557">
        <v>14</v>
      </c>
      <c r="G27" s="681">
        <v>28</v>
      </c>
      <c r="H27" s="681">
        <v>14</v>
      </c>
      <c r="I27" s="682">
        <v>70</v>
      </c>
      <c r="J27" s="683">
        <v>1</v>
      </c>
      <c r="K27" s="625">
        <v>9</v>
      </c>
      <c r="L27" s="625">
        <v>0</v>
      </c>
      <c r="M27" s="625">
        <v>0</v>
      </c>
      <c r="N27" s="625">
        <v>0</v>
      </c>
      <c r="O27" s="625">
        <v>0</v>
      </c>
      <c r="P27" s="625">
        <v>0</v>
      </c>
      <c r="Q27" s="625">
        <v>0</v>
      </c>
      <c r="R27" s="625">
        <v>0</v>
      </c>
      <c r="S27" s="625"/>
      <c r="T27" s="625"/>
      <c r="U27" s="681"/>
      <c r="V27" s="679">
        <f t="shared" si="0"/>
        <v>10</v>
      </c>
      <c r="W27" s="670">
        <f t="shared" si="1"/>
        <v>14.285714285714285</v>
      </c>
      <c r="X27" s="108"/>
    </row>
    <row r="28" spans="1:24" ht="15">
      <c r="A28" s="628" t="s">
        <v>560</v>
      </c>
      <c r="B28" s="629" t="s">
        <v>561</v>
      </c>
      <c r="C28" s="630">
        <v>428</v>
      </c>
      <c r="D28" s="630">
        <v>253</v>
      </c>
      <c r="E28" s="556">
        <v>511</v>
      </c>
      <c r="F28" s="557">
        <v>1514</v>
      </c>
      <c r="G28" s="681">
        <v>3627</v>
      </c>
      <c r="H28" s="681">
        <v>149</v>
      </c>
      <c r="I28" s="682">
        <v>100</v>
      </c>
      <c r="J28" s="683">
        <v>2</v>
      </c>
      <c r="K28" s="625">
        <v>1</v>
      </c>
      <c r="L28" s="625">
        <v>5</v>
      </c>
      <c r="M28" s="625">
        <v>8</v>
      </c>
      <c r="N28" s="625">
        <v>2</v>
      </c>
      <c r="O28" s="625">
        <v>29</v>
      </c>
      <c r="P28" s="625">
        <v>163</v>
      </c>
      <c r="Q28" s="625">
        <v>0</v>
      </c>
      <c r="R28" s="625">
        <v>14</v>
      </c>
      <c r="S28" s="625"/>
      <c r="T28" s="625"/>
      <c r="U28" s="681"/>
      <c r="V28" s="679">
        <f t="shared" si="0"/>
        <v>224</v>
      </c>
      <c r="W28" s="670">
        <f t="shared" si="1"/>
        <v>224.00000000000003</v>
      </c>
      <c r="X28" s="108"/>
    </row>
    <row r="29" spans="1:24" ht="15">
      <c r="A29" s="628" t="s">
        <v>562</v>
      </c>
      <c r="B29" s="629" t="s">
        <v>563</v>
      </c>
      <c r="C29" s="630">
        <v>1057</v>
      </c>
      <c r="D29" s="630">
        <v>1451</v>
      </c>
      <c r="E29" s="556">
        <v>518</v>
      </c>
      <c r="F29" s="557">
        <v>2878</v>
      </c>
      <c r="G29" s="681">
        <v>4759</v>
      </c>
      <c r="H29" s="681">
        <v>1216</v>
      </c>
      <c r="I29" s="682">
        <v>900</v>
      </c>
      <c r="J29" s="683">
        <v>35</v>
      </c>
      <c r="K29" s="625">
        <v>55</v>
      </c>
      <c r="L29" s="625">
        <v>63</v>
      </c>
      <c r="M29" s="625">
        <v>140</v>
      </c>
      <c r="N29" s="625">
        <v>113</v>
      </c>
      <c r="O29" s="625">
        <v>193</v>
      </c>
      <c r="P29" s="625">
        <v>111</v>
      </c>
      <c r="Q29" s="625">
        <v>188</v>
      </c>
      <c r="R29" s="625">
        <v>82</v>
      </c>
      <c r="S29" s="625"/>
      <c r="T29" s="625"/>
      <c r="U29" s="681"/>
      <c r="V29" s="679">
        <f t="shared" si="0"/>
        <v>980</v>
      </c>
      <c r="W29" s="670">
        <f t="shared" si="1"/>
        <v>108.88888888888889</v>
      </c>
      <c r="X29" s="108"/>
    </row>
    <row r="30" spans="1:24" ht="15">
      <c r="A30" s="628" t="s">
        <v>564</v>
      </c>
      <c r="B30" s="684" t="s">
        <v>565</v>
      </c>
      <c r="C30" s="630">
        <v>10408</v>
      </c>
      <c r="D30" s="630">
        <v>11792</v>
      </c>
      <c r="E30" s="556">
        <v>521</v>
      </c>
      <c r="F30" s="557">
        <v>3067</v>
      </c>
      <c r="G30" s="681">
        <v>3355</v>
      </c>
      <c r="H30" s="681">
        <v>2445</v>
      </c>
      <c r="I30" s="682">
        <v>2850</v>
      </c>
      <c r="J30" s="685">
        <v>185</v>
      </c>
      <c r="K30" s="625">
        <v>191</v>
      </c>
      <c r="L30" s="625">
        <v>318</v>
      </c>
      <c r="M30" s="625">
        <v>213</v>
      </c>
      <c r="N30" s="625">
        <v>217</v>
      </c>
      <c r="O30" s="625">
        <v>337</v>
      </c>
      <c r="P30" s="625">
        <v>244</v>
      </c>
      <c r="Q30" s="625">
        <v>226</v>
      </c>
      <c r="R30" s="625">
        <v>214</v>
      </c>
      <c r="S30" s="625"/>
      <c r="T30" s="625"/>
      <c r="U30" s="681"/>
      <c r="V30" s="679">
        <f t="shared" si="0"/>
        <v>2145</v>
      </c>
      <c r="W30" s="670">
        <f t="shared" si="1"/>
        <v>75.26315789473685</v>
      </c>
      <c r="X30" s="108"/>
    </row>
    <row r="31" spans="1:24" ht="15">
      <c r="A31" s="628" t="s">
        <v>566</v>
      </c>
      <c r="B31" s="684" t="s">
        <v>567</v>
      </c>
      <c r="C31" s="630">
        <v>3640</v>
      </c>
      <c r="D31" s="630">
        <v>4174</v>
      </c>
      <c r="E31" s="556" t="s">
        <v>568</v>
      </c>
      <c r="F31" s="557">
        <v>1101</v>
      </c>
      <c r="G31" s="681">
        <v>1260</v>
      </c>
      <c r="H31" s="681">
        <v>892</v>
      </c>
      <c r="I31" s="682">
        <v>1270</v>
      </c>
      <c r="J31" s="685">
        <v>64</v>
      </c>
      <c r="K31" s="625">
        <v>71</v>
      </c>
      <c r="L31" s="625">
        <v>112</v>
      </c>
      <c r="M31" s="625">
        <v>77</v>
      </c>
      <c r="N31" s="625">
        <v>67</v>
      </c>
      <c r="O31" s="625">
        <v>137</v>
      </c>
      <c r="P31" s="625">
        <v>82</v>
      </c>
      <c r="Q31" s="625">
        <v>76</v>
      </c>
      <c r="R31" s="625">
        <v>95</v>
      </c>
      <c r="S31" s="625"/>
      <c r="T31" s="625"/>
      <c r="U31" s="681"/>
      <c r="V31" s="679">
        <f t="shared" si="0"/>
        <v>781</v>
      </c>
      <c r="W31" s="670">
        <f t="shared" si="1"/>
        <v>61.496062992125985</v>
      </c>
      <c r="X31" s="108"/>
    </row>
    <row r="32" spans="1:24" ht="15">
      <c r="A32" s="628" t="s">
        <v>569</v>
      </c>
      <c r="B32" s="629" t="s">
        <v>570</v>
      </c>
      <c r="C32" s="630">
        <v>0</v>
      </c>
      <c r="D32" s="630">
        <v>0</v>
      </c>
      <c r="E32" s="556">
        <v>557</v>
      </c>
      <c r="F32" s="557">
        <v>0</v>
      </c>
      <c r="G32" s="681">
        <v>0</v>
      </c>
      <c r="H32" s="681">
        <v>0</v>
      </c>
      <c r="I32" s="682">
        <v>0</v>
      </c>
      <c r="J32" s="683">
        <v>0</v>
      </c>
      <c r="K32" s="625">
        <v>0</v>
      </c>
      <c r="L32" s="625">
        <v>0</v>
      </c>
      <c r="M32" s="625">
        <v>0</v>
      </c>
      <c r="N32" s="625">
        <v>0</v>
      </c>
      <c r="O32" s="625">
        <v>0</v>
      </c>
      <c r="P32" s="625">
        <v>0</v>
      </c>
      <c r="Q32" s="625">
        <v>0</v>
      </c>
      <c r="R32" s="625">
        <v>0</v>
      </c>
      <c r="S32" s="625"/>
      <c r="T32" s="625"/>
      <c r="U32" s="681"/>
      <c r="V32" s="679">
        <f t="shared" si="0"/>
        <v>0</v>
      </c>
      <c r="W32" s="670">
        <v>0</v>
      </c>
      <c r="X32" s="108"/>
    </row>
    <row r="33" spans="1:24" ht="15">
      <c r="A33" s="628" t="s">
        <v>571</v>
      </c>
      <c r="B33" s="629" t="s">
        <v>572</v>
      </c>
      <c r="C33" s="630">
        <v>1711</v>
      </c>
      <c r="D33" s="630">
        <v>1801</v>
      </c>
      <c r="E33" s="556">
        <v>551</v>
      </c>
      <c r="F33" s="557">
        <v>46</v>
      </c>
      <c r="G33" s="681">
        <v>45</v>
      </c>
      <c r="H33" s="681">
        <v>128</v>
      </c>
      <c r="I33" s="682">
        <v>230</v>
      </c>
      <c r="J33" s="683">
        <v>19</v>
      </c>
      <c r="K33" s="625">
        <v>19</v>
      </c>
      <c r="L33" s="625">
        <v>19</v>
      </c>
      <c r="M33" s="625">
        <v>19</v>
      </c>
      <c r="N33" s="625">
        <v>19</v>
      </c>
      <c r="O33" s="625">
        <v>41</v>
      </c>
      <c r="P33" s="625">
        <v>25</v>
      </c>
      <c r="Q33" s="625">
        <v>27</v>
      </c>
      <c r="R33" s="625">
        <v>17</v>
      </c>
      <c r="S33" s="625"/>
      <c r="T33" s="625"/>
      <c r="U33" s="681"/>
      <c r="V33" s="679">
        <f t="shared" si="0"/>
        <v>205</v>
      </c>
      <c r="W33" s="670">
        <f>IF(I33&lt;&gt;0,+V33/I33*100,"   ???")</f>
        <v>89.13043478260869</v>
      </c>
      <c r="X33" s="108"/>
    </row>
    <row r="34" spans="1:24" ht="15.75" thickBot="1">
      <c r="A34" s="598" t="s">
        <v>573</v>
      </c>
      <c r="B34" s="634"/>
      <c r="C34" s="635">
        <v>569</v>
      </c>
      <c r="D34" s="635">
        <v>614</v>
      </c>
      <c r="E34" s="561" t="s">
        <v>574</v>
      </c>
      <c r="F34" s="562">
        <v>65</v>
      </c>
      <c r="G34" s="563">
        <v>300</v>
      </c>
      <c r="H34" s="563">
        <v>151</v>
      </c>
      <c r="I34" s="686">
        <v>130</v>
      </c>
      <c r="J34" s="564">
        <v>22</v>
      </c>
      <c r="K34" s="687">
        <v>10</v>
      </c>
      <c r="L34" s="687">
        <v>40</v>
      </c>
      <c r="M34" s="687">
        <v>143</v>
      </c>
      <c r="N34" s="687">
        <v>11</v>
      </c>
      <c r="O34" s="687">
        <v>30</v>
      </c>
      <c r="P34" s="687">
        <v>79</v>
      </c>
      <c r="Q34" s="688">
        <v>18</v>
      </c>
      <c r="R34" s="687">
        <v>61</v>
      </c>
      <c r="S34" s="687"/>
      <c r="T34" s="687"/>
      <c r="U34" s="565"/>
      <c r="V34" s="689">
        <f t="shared" si="0"/>
        <v>414</v>
      </c>
      <c r="W34" s="690">
        <f>IF(I34&lt;&gt;0,+V34/I34*100,"   ???")</f>
        <v>318.46153846153845</v>
      </c>
      <c r="X34" s="108"/>
    </row>
    <row r="35" spans="1:24" ht="15.75" thickBot="1">
      <c r="A35" s="691" t="s">
        <v>575</v>
      </c>
      <c r="B35" s="692" t="s">
        <v>576</v>
      </c>
      <c r="C35" s="574">
        <f>SUM(C25:C34)</f>
        <v>25899</v>
      </c>
      <c r="D35" s="574">
        <f>SUM(D25:D34)</f>
        <v>29268</v>
      </c>
      <c r="E35" s="693"/>
      <c r="F35" s="573">
        <v>9910</v>
      </c>
      <c r="G35" s="694">
        <v>14685</v>
      </c>
      <c r="H35" s="694">
        <v>6737</v>
      </c>
      <c r="I35" s="695">
        <f aca="true" t="shared" si="2" ref="I35:U35">SUM(I25:I34)</f>
        <v>7350</v>
      </c>
      <c r="J35" s="696">
        <f>SUM(J25:J34)</f>
        <v>439</v>
      </c>
      <c r="K35" s="697">
        <f>SUM(K25:K34)</f>
        <v>427</v>
      </c>
      <c r="L35" s="697">
        <f t="shared" si="2"/>
        <v>778</v>
      </c>
      <c r="M35" s="698">
        <f t="shared" si="2"/>
        <v>719</v>
      </c>
      <c r="N35" s="697">
        <f t="shared" si="2"/>
        <v>581</v>
      </c>
      <c r="O35" s="697">
        <f t="shared" si="2"/>
        <v>562</v>
      </c>
      <c r="P35" s="697">
        <f t="shared" si="2"/>
        <v>827</v>
      </c>
      <c r="Q35" s="697">
        <f t="shared" si="2"/>
        <v>668</v>
      </c>
      <c r="R35" s="697">
        <f t="shared" si="2"/>
        <v>384</v>
      </c>
      <c r="S35" s="697">
        <f t="shared" si="2"/>
        <v>0</v>
      </c>
      <c r="T35" s="697">
        <f t="shared" si="2"/>
        <v>0</v>
      </c>
      <c r="U35" s="697">
        <f t="shared" si="2"/>
        <v>0</v>
      </c>
      <c r="V35" s="699">
        <f t="shared" si="0"/>
        <v>5385</v>
      </c>
      <c r="W35" s="700">
        <f>IF(I35&lt;&gt;0,+V35/I35*100,"   ???")</f>
        <v>73.26530612244898</v>
      </c>
      <c r="X35" s="108"/>
    </row>
    <row r="36" spans="1:24" ht="15">
      <c r="A36" s="615" t="s">
        <v>577</v>
      </c>
      <c r="B36" s="616" t="s">
        <v>578</v>
      </c>
      <c r="C36" s="617">
        <v>0</v>
      </c>
      <c r="D36" s="617">
        <v>0</v>
      </c>
      <c r="E36" s="554">
        <v>601</v>
      </c>
      <c r="F36" s="566">
        <v>0</v>
      </c>
      <c r="G36" s="560">
        <v>0</v>
      </c>
      <c r="H36" s="560">
        <v>0</v>
      </c>
      <c r="I36" s="660">
        <v>0</v>
      </c>
      <c r="J36" s="667">
        <v>0</v>
      </c>
      <c r="K36" s="625">
        <v>0</v>
      </c>
      <c r="L36" s="625">
        <v>0</v>
      </c>
      <c r="M36" s="625">
        <v>0</v>
      </c>
      <c r="N36" s="625">
        <v>0</v>
      </c>
      <c r="O36" s="625">
        <v>0</v>
      </c>
      <c r="P36" s="625">
        <v>0</v>
      </c>
      <c r="Q36" s="625">
        <v>0</v>
      </c>
      <c r="R36" s="625">
        <v>0</v>
      </c>
      <c r="S36" s="625"/>
      <c r="T36" s="625"/>
      <c r="U36" s="620"/>
      <c r="V36" s="701">
        <f t="shared" si="0"/>
        <v>0</v>
      </c>
      <c r="W36" s="680">
        <v>0</v>
      </c>
      <c r="X36" s="108"/>
    </row>
    <row r="37" spans="1:24" ht="15">
      <c r="A37" s="628" t="s">
        <v>579</v>
      </c>
      <c r="B37" s="629" t="s">
        <v>580</v>
      </c>
      <c r="C37" s="630">
        <v>1190</v>
      </c>
      <c r="D37" s="630">
        <v>1857</v>
      </c>
      <c r="E37" s="556">
        <v>602</v>
      </c>
      <c r="F37" s="567">
        <v>234</v>
      </c>
      <c r="G37" s="557">
        <v>127</v>
      </c>
      <c r="H37" s="557">
        <v>169</v>
      </c>
      <c r="I37" s="666">
        <v>150</v>
      </c>
      <c r="J37" s="667">
        <v>17</v>
      </c>
      <c r="K37" s="625">
        <v>7</v>
      </c>
      <c r="L37" s="625">
        <v>3</v>
      </c>
      <c r="M37" s="625">
        <v>2</v>
      </c>
      <c r="N37" s="625">
        <v>12</v>
      </c>
      <c r="O37" s="625">
        <v>20</v>
      </c>
      <c r="P37" s="625">
        <v>132</v>
      </c>
      <c r="Q37" s="625">
        <v>35</v>
      </c>
      <c r="R37" s="625">
        <v>58</v>
      </c>
      <c r="S37" s="625"/>
      <c r="T37" s="625"/>
      <c r="U37" s="620"/>
      <c r="V37" s="669">
        <f t="shared" si="0"/>
        <v>286</v>
      </c>
      <c r="W37" s="670">
        <f>IF(I37&lt;&gt;0,+V37/I37*100,"   ???")</f>
        <v>190.66666666666669</v>
      </c>
      <c r="X37" s="108"/>
    </row>
    <row r="38" spans="1:24" ht="15">
      <c r="A38" s="628" t="s">
        <v>581</v>
      </c>
      <c r="B38" s="629" t="s">
        <v>582</v>
      </c>
      <c r="C38" s="630">
        <v>0</v>
      </c>
      <c r="D38" s="630">
        <v>0</v>
      </c>
      <c r="E38" s="556">
        <v>604</v>
      </c>
      <c r="F38" s="567">
        <v>39</v>
      </c>
      <c r="G38" s="557">
        <v>37</v>
      </c>
      <c r="H38" s="557">
        <v>29</v>
      </c>
      <c r="I38" s="666">
        <v>50</v>
      </c>
      <c r="J38" s="667">
        <v>7</v>
      </c>
      <c r="K38" s="625">
        <v>12</v>
      </c>
      <c r="L38" s="625">
        <v>1</v>
      </c>
      <c r="M38" s="625">
        <v>1</v>
      </c>
      <c r="N38" s="625">
        <v>6</v>
      </c>
      <c r="O38" s="625">
        <v>0</v>
      </c>
      <c r="P38" s="625">
        <v>0</v>
      </c>
      <c r="Q38" s="625">
        <v>12</v>
      </c>
      <c r="R38" s="625">
        <v>18</v>
      </c>
      <c r="S38" s="625"/>
      <c r="T38" s="625"/>
      <c r="U38" s="620"/>
      <c r="V38" s="669">
        <f t="shared" si="0"/>
        <v>57</v>
      </c>
      <c r="W38" s="670">
        <f>IF(I38&lt;&gt;0,+V38/I38*100,"   ???")</f>
        <v>113.99999999999999</v>
      </c>
      <c r="X38" s="108"/>
    </row>
    <row r="39" spans="1:24" ht="15">
      <c r="A39" s="628" t="s">
        <v>583</v>
      </c>
      <c r="B39" s="629" t="s">
        <v>584</v>
      </c>
      <c r="C39" s="630">
        <v>12472</v>
      </c>
      <c r="D39" s="630">
        <v>13728</v>
      </c>
      <c r="E39" s="556" t="s">
        <v>585</v>
      </c>
      <c r="F39" s="567">
        <v>9399</v>
      </c>
      <c r="G39" s="557">
        <v>13770</v>
      </c>
      <c r="H39" s="557">
        <v>6257</v>
      </c>
      <c r="I39" s="666">
        <v>6850</v>
      </c>
      <c r="J39" s="702">
        <v>570</v>
      </c>
      <c r="K39" s="625">
        <v>570</v>
      </c>
      <c r="L39" s="625">
        <v>570</v>
      </c>
      <c r="M39" s="625">
        <v>570</v>
      </c>
      <c r="N39" s="625">
        <v>743</v>
      </c>
      <c r="O39" s="625">
        <v>570</v>
      </c>
      <c r="P39" s="625">
        <v>275</v>
      </c>
      <c r="Q39" s="625">
        <v>570</v>
      </c>
      <c r="R39" s="625">
        <v>570</v>
      </c>
      <c r="S39" s="625"/>
      <c r="T39" s="625"/>
      <c r="U39" s="620"/>
      <c r="V39" s="669">
        <f t="shared" si="0"/>
        <v>5008</v>
      </c>
      <c r="W39" s="670">
        <f>IF(I39&lt;&gt;0,+V39/I39*100,"   ???")</f>
        <v>73.10948905109488</v>
      </c>
      <c r="X39" s="108"/>
    </row>
    <row r="40" spans="1:24" ht="15.75" thickBot="1">
      <c r="A40" s="598" t="s">
        <v>586</v>
      </c>
      <c r="B40" s="634"/>
      <c r="C40" s="635">
        <v>12330</v>
      </c>
      <c r="D40" s="635">
        <v>13218</v>
      </c>
      <c r="E40" s="561" t="s">
        <v>587</v>
      </c>
      <c r="F40" s="568">
        <v>286</v>
      </c>
      <c r="G40" s="562">
        <v>753</v>
      </c>
      <c r="H40" s="562">
        <v>329</v>
      </c>
      <c r="I40" s="703">
        <v>300</v>
      </c>
      <c r="J40" s="569">
        <v>10</v>
      </c>
      <c r="K40" s="553">
        <v>0</v>
      </c>
      <c r="L40" s="553">
        <v>4</v>
      </c>
      <c r="M40" s="553">
        <v>1</v>
      </c>
      <c r="N40" s="553">
        <v>4</v>
      </c>
      <c r="O40" s="553">
        <v>5</v>
      </c>
      <c r="P40" s="553">
        <v>133</v>
      </c>
      <c r="Q40" s="553">
        <v>1</v>
      </c>
      <c r="R40" s="553">
        <v>19</v>
      </c>
      <c r="S40" s="553"/>
      <c r="T40" s="553"/>
      <c r="U40" s="553"/>
      <c r="V40" s="669">
        <f t="shared" si="0"/>
        <v>177</v>
      </c>
      <c r="W40" s="690">
        <f>IF(I40&lt;&gt;0,+V40/I40*100,"   ???")</f>
        <v>59</v>
      </c>
      <c r="X40" s="108"/>
    </row>
    <row r="41" spans="1:24" ht="15.75" thickBot="1">
      <c r="A41" s="691" t="s">
        <v>588</v>
      </c>
      <c r="B41" s="692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704">
        <v>9958</v>
      </c>
      <c r="G41" s="573">
        <v>14687</v>
      </c>
      <c r="H41" s="573">
        <v>6784</v>
      </c>
      <c r="I41" s="705">
        <v>7350</v>
      </c>
      <c r="J41" s="697">
        <f>SUM(J36:J40)</f>
        <v>604</v>
      </c>
      <c r="K41" s="697">
        <f>SUM(K36:K40)</f>
        <v>589</v>
      </c>
      <c r="L41" s="698">
        <f aca="true" t="shared" si="3" ref="L41:V41">SUM(L36:L40)</f>
        <v>578</v>
      </c>
      <c r="M41" s="698">
        <f t="shared" si="3"/>
        <v>574</v>
      </c>
      <c r="N41" s="697">
        <f t="shared" si="3"/>
        <v>765</v>
      </c>
      <c r="O41" s="697">
        <f t="shared" si="3"/>
        <v>595</v>
      </c>
      <c r="P41" s="697">
        <f t="shared" si="3"/>
        <v>540</v>
      </c>
      <c r="Q41" s="697">
        <f t="shared" si="3"/>
        <v>618</v>
      </c>
      <c r="R41" s="697">
        <f t="shared" si="3"/>
        <v>665</v>
      </c>
      <c r="S41" s="697">
        <f t="shared" si="3"/>
        <v>0</v>
      </c>
      <c r="T41" s="697">
        <f t="shared" si="3"/>
        <v>0</v>
      </c>
      <c r="U41" s="697">
        <f t="shared" si="3"/>
        <v>0</v>
      </c>
      <c r="V41" s="699">
        <f t="shared" si="3"/>
        <v>5528</v>
      </c>
      <c r="W41" s="700">
        <f>IF(I41&lt;&gt;0,+V41/I41*100,"   ???")</f>
        <v>75.21088435374149</v>
      </c>
      <c r="X41" s="108"/>
    </row>
    <row r="42" spans="1:24" ht="6.75" customHeight="1" thickBot="1">
      <c r="A42" s="598"/>
      <c r="B42" s="551"/>
      <c r="C42" s="706"/>
      <c r="D42" s="706"/>
      <c r="E42" s="570"/>
      <c r="F42" s="571"/>
      <c r="G42" s="572"/>
      <c r="H42" s="572"/>
      <c r="I42" s="573"/>
      <c r="J42" s="496"/>
      <c r="K42" s="707"/>
      <c r="L42" s="708"/>
      <c r="M42" s="708"/>
      <c r="N42" s="707"/>
      <c r="O42" s="707"/>
      <c r="P42" s="707"/>
      <c r="Q42" s="707"/>
      <c r="R42" s="707"/>
      <c r="S42" s="707"/>
      <c r="T42" s="707"/>
      <c r="U42" s="539"/>
      <c r="V42" s="574"/>
      <c r="W42" s="575"/>
      <c r="X42" s="108"/>
    </row>
    <row r="43" spans="1:24" ht="15.75" thickBot="1">
      <c r="A43" s="709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704">
        <v>542</v>
      </c>
      <c r="G43" s="573">
        <v>917</v>
      </c>
      <c r="H43" s="573">
        <v>527</v>
      </c>
      <c r="I43" s="695">
        <v>540</v>
      </c>
      <c r="J43" s="696">
        <v>34</v>
      </c>
      <c r="K43" s="697">
        <v>19</v>
      </c>
      <c r="L43" s="697">
        <f aca="true" t="shared" si="4" ref="L43:U43">+L41-L39</f>
        <v>8</v>
      </c>
      <c r="M43" s="697">
        <f t="shared" si="4"/>
        <v>4</v>
      </c>
      <c r="N43" s="697">
        <f t="shared" si="4"/>
        <v>22</v>
      </c>
      <c r="O43" s="697">
        <f t="shared" si="4"/>
        <v>25</v>
      </c>
      <c r="P43" s="697">
        <f t="shared" si="4"/>
        <v>265</v>
      </c>
      <c r="Q43" s="697">
        <f t="shared" si="4"/>
        <v>48</v>
      </c>
      <c r="R43" s="697">
        <f t="shared" si="4"/>
        <v>95</v>
      </c>
      <c r="S43" s="697">
        <f t="shared" si="4"/>
        <v>0</v>
      </c>
      <c r="T43" s="697">
        <f t="shared" si="4"/>
        <v>0</v>
      </c>
      <c r="U43" s="697">
        <f t="shared" si="4"/>
        <v>0</v>
      </c>
      <c r="V43" s="574">
        <f>SUM(J43:U43)</f>
        <v>520</v>
      </c>
      <c r="W43" s="700">
        <f>IF(I43&lt;&gt;0,+V43/I43*100,"   ???")</f>
        <v>96.29629629629629</v>
      </c>
      <c r="X43" s="108"/>
    </row>
    <row r="44" spans="1:24" ht="15.75" thickBot="1">
      <c r="A44" s="691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704">
        <v>48</v>
      </c>
      <c r="G44" s="573">
        <v>2</v>
      </c>
      <c r="H44" s="573">
        <v>47</v>
      </c>
      <c r="I44" s="695">
        <v>0</v>
      </c>
      <c r="J44" s="696">
        <v>164</v>
      </c>
      <c r="K44" s="697">
        <v>163</v>
      </c>
      <c r="L44" s="697">
        <v>-200</v>
      </c>
      <c r="M44" s="697">
        <f aca="true" t="shared" si="5" ref="M44:U44">+M41-M35</f>
        <v>-145</v>
      </c>
      <c r="N44" s="697">
        <f t="shared" si="5"/>
        <v>184</v>
      </c>
      <c r="O44" s="697">
        <f t="shared" si="5"/>
        <v>33</v>
      </c>
      <c r="P44" s="697">
        <f t="shared" si="5"/>
        <v>-287</v>
      </c>
      <c r="Q44" s="697">
        <f t="shared" si="5"/>
        <v>-50</v>
      </c>
      <c r="R44" s="697">
        <f t="shared" si="5"/>
        <v>281</v>
      </c>
      <c r="S44" s="697">
        <f t="shared" si="5"/>
        <v>0</v>
      </c>
      <c r="T44" s="697">
        <f t="shared" si="5"/>
        <v>0</v>
      </c>
      <c r="U44" s="710">
        <f t="shared" si="5"/>
        <v>0</v>
      </c>
      <c r="V44" s="574">
        <f>SUM(J44:U44)</f>
        <v>143</v>
      </c>
      <c r="W44" s="700" t="str">
        <f>IF(I44&lt;&gt;0,+V44/I44*100,"   ???")</f>
        <v>   ???</v>
      </c>
      <c r="X44" s="108"/>
    </row>
    <row r="45" spans="1:24" ht="15.75" thickBot="1">
      <c r="A45" s="711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715">
        <v>-9364</v>
      </c>
      <c r="G45" s="716">
        <v>-13768</v>
      </c>
      <c r="H45" s="716">
        <v>-6210</v>
      </c>
      <c r="I45" s="695">
        <v>-8556</v>
      </c>
      <c r="J45" s="696">
        <v>-405</v>
      </c>
      <c r="K45" s="697">
        <v>-408</v>
      </c>
      <c r="L45" s="697">
        <f aca="true" t="shared" si="6" ref="L45:U45">+L44-L39</f>
        <v>-770</v>
      </c>
      <c r="M45" s="697">
        <f t="shared" si="6"/>
        <v>-715</v>
      </c>
      <c r="N45" s="697">
        <f t="shared" si="6"/>
        <v>-559</v>
      </c>
      <c r="O45" s="697">
        <f t="shared" si="6"/>
        <v>-537</v>
      </c>
      <c r="P45" s="697">
        <f t="shared" si="6"/>
        <v>-562</v>
      </c>
      <c r="Q45" s="697">
        <f t="shared" si="6"/>
        <v>-620</v>
      </c>
      <c r="R45" s="697">
        <f t="shared" si="6"/>
        <v>-289</v>
      </c>
      <c r="S45" s="697">
        <f t="shared" si="6"/>
        <v>0</v>
      </c>
      <c r="T45" s="697">
        <f t="shared" si="6"/>
        <v>0</v>
      </c>
      <c r="U45" s="697">
        <f t="shared" si="6"/>
        <v>0</v>
      </c>
      <c r="V45" s="574">
        <f>SUM(J45:U45)</f>
        <v>-4865</v>
      </c>
      <c r="W45" s="700">
        <f>IF(I45&lt;&gt;0,+V45/I45*100,"   ???")</f>
        <v>56.86068256194483</v>
      </c>
      <c r="X45" s="108"/>
    </row>
    <row r="47" ht="14.25" customHeight="1">
      <c r="A47" s="7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2.28125" style="108" customWidth="1"/>
    <col min="2" max="2" width="10.57421875" style="108" customWidth="1"/>
    <col min="3" max="3" width="14.00390625" style="108" customWidth="1"/>
    <col min="4" max="5" width="0" style="108" hidden="1" customWidth="1"/>
    <col min="6" max="6" width="9.140625" style="108" hidden="1" customWidth="1"/>
    <col min="7" max="8" width="9.140625" style="108" customWidth="1"/>
    <col min="9" max="9" width="10.28125" style="108" customWidth="1"/>
    <col min="10" max="18" width="9.140625" style="108" customWidth="1"/>
    <col min="19" max="21" width="0" style="108" hidden="1" customWidth="1"/>
    <col min="22" max="23" width="10.28125" style="108" customWidth="1"/>
    <col min="24" max="16384" width="9.140625" style="108" customWidth="1"/>
  </cols>
  <sheetData>
    <row r="1" spans="1:9" ht="25.5">
      <c r="A1" s="733" t="s">
        <v>594</v>
      </c>
      <c r="B1" s="730"/>
      <c r="C1" s="731"/>
      <c r="D1" s="731"/>
      <c r="E1" s="731"/>
      <c r="F1" s="731"/>
      <c r="G1" s="731"/>
      <c r="H1" s="731"/>
      <c r="I1" s="732"/>
    </row>
    <row r="2" spans="1:9" ht="18">
      <c r="A2" s="733" t="s">
        <v>595</v>
      </c>
      <c r="B2" s="454"/>
      <c r="I2" s="453"/>
    </row>
    <row r="3" spans="1:9" ht="12.75">
      <c r="A3" s="453"/>
      <c r="B3" s="453"/>
      <c r="I3" s="453"/>
    </row>
    <row r="4" spans="9:15" ht="13.5" thickBot="1">
      <c r="I4" s="453"/>
      <c r="M4" s="186"/>
      <c r="N4" s="186"/>
      <c r="O4" s="186"/>
    </row>
    <row r="5" spans="1:15" ht="16.5" thickBot="1">
      <c r="A5" s="734" t="s">
        <v>492</v>
      </c>
      <c r="B5" s="734"/>
      <c r="C5" s="852" t="s">
        <v>612</v>
      </c>
      <c r="D5" s="853"/>
      <c r="E5" s="853"/>
      <c r="F5" s="853"/>
      <c r="G5" s="854"/>
      <c r="H5" s="545"/>
      <c r="I5" s="458"/>
      <c r="M5" s="186"/>
      <c r="N5" s="186"/>
      <c r="O5" s="186"/>
    </row>
    <row r="6" spans="1:9" ht="13.5" thickBot="1">
      <c r="A6" s="732" t="s">
        <v>494</v>
      </c>
      <c r="B6" s="732"/>
      <c r="I6" s="453"/>
    </row>
    <row r="7" spans="1:23" ht="15.75">
      <c r="A7" s="735"/>
      <c r="B7" s="736"/>
      <c r="C7" s="737"/>
      <c r="D7" s="460"/>
      <c r="E7" s="460"/>
      <c r="F7" s="460"/>
      <c r="G7" s="460"/>
      <c r="H7" s="460"/>
      <c r="I7" s="738" t="s">
        <v>29</v>
      </c>
      <c r="J7" s="739"/>
      <c r="K7" s="740"/>
      <c r="L7" s="740"/>
      <c r="M7" s="740"/>
      <c r="N7" s="740"/>
      <c r="O7" s="741"/>
      <c r="P7" s="740"/>
      <c r="Q7" s="740"/>
      <c r="R7" s="740"/>
      <c r="S7" s="740"/>
      <c r="T7" s="740"/>
      <c r="U7" s="740"/>
      <c r="V7" s="742" t="s">
        <v>496</v>
      </c>
      <c r="W7" s="738" t="s">
        <v>497</v>
      </c>
    </row>
    <row r="8" spans="1:23" ht="13.5" thickBot="1">
      <c r="A8" s="743" t="s">
        <v>27</v>
      </c>
      <c r="B8" s="744"/>
      <c r="C8" s="745"/>
      <c r="D8" s="466" t="s">
        <v>499</v>
      </c>
      <c r="E8" s="466" t="s">
        <v>500</v>
      </c>
      <c r="F8" s="746" t="s">
        <v>503</v>
      </c>
      <c r="G8" s="746" t="s">
        <v>611</v>
      </c>
      <c r="H8" s="746" t="s">
        <v>613</v>
      </c>
      <c r="I8" s="747">
        <v>2013</v>
      </c>
      <c r="J8" s="748" t="s">
        <v>506</v>
      </c>
      <c r="K8" s="749" t="s">
        <v>507</v>
      </c>
      <c r="L8" s="749" t="s">
        <v>508</v>
      </c>
      <c r="M8" s="749" t="s">
        <v>509</v>
      </c>
      <c r="N8" s="749" t="s">
        <v>510</v>
      </c>
      <c r="O8" s="749" t="s">
        <v>511</v>
      </c>
      <c r="P8" s="749" t="s">
        <v>512</v>
      </c>
      <c r="Q8" s="749" t="s">
        <v>513</v>
      </c>
      <c r="R8" s="749" t="s">
        <v>514</v>
      </c>
      <c r="S8" s="749" t="s">
        <v>515</v>
      </c>
      <c r="T8" s="749" t="s">
        <v>516</v>
      </c>
      <c r="U8" s="748" t="s">
        <v>517</v>
      </c>
      <c r="V8" s="746" t="s">
        <v>518</v>
      </c>
      <c r="W8" s="747" t="s">
        <v>519</v>
      </c>
    </row>
    <row r="9" spans="1:23" ht="16.5">
      <c r="A9" s="750" t="s">
        <v>614</v>
      </c>
      <c r="B9" s="751"/>
      <c r="C9" s="752"/>
      <c r="D9" s="753">
        <v>22</v>
      </c>
      <c r="E9" s="753">
        <v>23</v>
      </c>
      <c r="F9" s="720">
        <v>21</v>
      </c>
      <c r="G9" s="721">
        <v>21</v>
      </c>
      <c r="H9" s="721">
        <v>21</v>
      </c>
      <c r="I9" s="754">
        <v>21</v>
      </c>
      <c r="J9" s="755">
        <v>21</v>
      </c>
      <c r="K9" s="756">
        <v>21</v>
      </c>
      <c r="L9" s="756">
        <v>21</v>
      </c>
      <c r="M9" s="756">
        <v>21</v>
      </c>
      <c r="N9" s="722">
        <v>21</v>
      </c>
      <c r="O9" s="722">
        <v>21</v>
      </c>
      <c r="P9" s="720">
        <v>21</v>
      </c>
      <c r="Q9" s="720">
        <v>21</v>
      </c>
      <c r="R9" s="720">
        <v>21</v>
      </c>
      <c r="S9" s="720"/>
      <c r="T9" s="720"/>
      <c r="U9" s="720"/>
      <c r="V9" s="757" t="s">
        <v>521</v>
      </c>
      <c r="W9" s="758" t="s">
        <v>521</v>
      </c>
    </row>
    <row r="10" spans="1:23" ht="17.25" thickBot="1">
      <c r="A10" s="759" t="s">
        <v>615</v>
      </c>
      <c r="B10" s="760"/>
      <c r="C10" s="761"/>
      <c r="D10" s="762">
        <v>20.91</v>
      </c>
      <c r="E10" s="762">
        <v>21.91</v>
      </c>
      <c r="F10" s="763">
        <v>20.4</v>
      </c>
      <c r="G10" s="764">
        <v>20.4</v>
      </c>
      <c r="H10" s="764">
        <v>20.4</v>
      </c>
      <c r="I10" s="765">
        <v>20.4</v>
      </c>
      <c r="J10" s="766">
        <v>20.4</v>
      </c>
      <c r="K10" s="767">
        <v>20.4</v>
      </c>
      <c r="L10" s="768">
        <v>20.4</v>
      </c>
      <c r="M10" s="768">
        <v>20.4</v>
      </c>
      <c r="N10" s="767">
        <v>20.4</v>
      </c>
      <c r="O10" s="767">
        <v>20.4</v>
      </c>
      <c r="P10" s="769">
        <v>20.4</v>
      </c>
      <c r="Q10" s="769">
        <v>20.4</v>
      </c>
      <c r="R10" s="769">
        <v>20.4</v>
      </c>
      <c r="S10" s="769"/>
      <c r="T10" s="769"/>
      <c r="U10" s="763"/>
      <c r="V10" s="770"/>
      <c r="W10" s="771" t="s">
        <v>521</v>
      </c>
    </row>
    <row r="11" spans="1:23" ht="16.5">
      <c r="A11" s="772" t="s">
        <v>616</v>
      </c>
      <c r="B11" s="751"/>
      <c r="C11" s="773" t="s">
        <v>617</v>
      </c>
      <c r="D11" s="774">
        <v>4630</v>
      </c>
      <c r="E11" s="774">
        <v>5103</v>
      </c>
      <c r="F11" s="775">
        <v>6882</v>
      </c>
      <c r="G11" s="725">
        <v>6825</v>
      </c>
      <c r="H11" s="724">
        <v>6741</v>
      </c>
      <c r="I11" s="776" t="s">
        <v>521</v>
      </c>
      <c r="J11" s="775">
        <v>6744</v>
      </c>
      <c r="K11" s="777">
        <v>6760</v>
      </c>
      <c r="L11" s="777">
        <v>6763</v>
      </c>
      <c r="M11" s="778">
        <v>6766</v>
      </c>
      <c r="N11" s="779">
        <v>6766</v>
      </c>
      <c r="O11" s="779">
        <v>6773</v>
      </c>
      <c r="P11" s="779">
        <v>6773</v>
      </c>
      <c r="Q11" s="779">
        <v>6819</v>
      </c>
      <c r="R11" s="779">
        <v>6821</v>
      </c>
      <c r="S11" s="779"/>
      <c r="T11" s="779"/>
      <c r="U11" s="775"/>
      <c r="V11" s="780" t="s">
        <v>521</v>
      </c>
      <c r="W11" s="776" t="s">
        <v>521</v>
      </c>
    </row>
    <row r="12" spans="1:23" ht="16.5">
      <c r="A12" s="772" t="s">
        <v>598</v>
      </c>
      <c r="B12" s="781"/>
      <c r="C12" s="773" t="s">
        <v>618</v>
      </c>
      <c r="D12" s="782">
        <v>3811</v>
      </c>
      <c r="E12" s="782">
        <v>4577</v>
      </c>
      <c r="F12" s="775">
        <v>6496</v>
      </c>
      <c r="G12" s="725">
        <v>6491</v>
      </c>
      <c r="H12" s="725">
        <v>6492</v>
      </c>
      <c r="I12" s="776" t="s">
        <v>521</v>
      </c>
      <c r="J12" s="783">
        <v>6501</v>
      </c>
      <c r="K12" s="784">
        <v>6522</v>
      </c>
      <c r="L12" s="784">
        <v>6531</v>
      </c>
      <c r="M12" s="785">
        <v>6540</v>
      </c>
      <c r="N12" s="779">
        <v>6546</v>
      </c>
      <c r="O12" s="779">
        <v>6558</v>
      </c>
      <c r="P12" s="779">
        <v>6563</v>
      </c>
      <c r="Q12" s="779">
        <v>6615</v>
      </c>
      <c r="R12" s="779">
        <v>6623</v>
      </c>
      <c r="S12" s="779"/>
      <c r="T12" s="779"/>
      <c r="U12" s="775"/>
      <c r="V12" s="780" t="s">
        <v>521</v>
      </c>
      <c r="W12" s="776" t="s">
        <v>521</v>
      </c>
    </row>
    <row r="13" spans="1:23" ht="16.5">
      <c r="A13" s="772" t="s">
        <v>529</v>
      </c>
      <c r="B13" s="751"/>
      <c r="C13" s="773" t="s">
        <v>619</v>
      </c>
      <c r="D13" s="782">
        <v>0</v>
      </c>
      <c r="E13" s="782">
        <v>0</v>
      </c>
      <c r="F13" s="775">
        <v>19</v>
      </c>
      <c r="G13" s="725">
        <v>59</v>
      </c>
      <c r="H13" s="725">
        <v>58</v>
      </c>
      <c r="I13" s="776" t="s">
        <v>521</v>
      </c>
      <c r="J13" s="783">
        <v>58</v>
      </c>
      <c r="K13" s="784">
        <v>58</v>
      </c>
      <c r="L13" s="785">
        <v>58</v>
      </c>
      <c r="M13" s="785">
        <v>58</v>
      </c>
      <c r="N13" s="779">
        <v>58</v>
      </c>
      <c r="O13" s="779">
        <v>64</v>
      </c>
      <c r="P13" s="779">
        <v>70</v>
      </c>
      <c r="Q13" s="779">
        <v>76</v>
      </c>
      <c r="R13" s="779">
        <v>40</v>
      </c>
      <c r="S13" s="779"/>
      <c r="T13" s="779"/>
      <c r="U13" s="775"/>
      <c r="V13" s="780" t="s">
        <v>521</v>
      </c>
      <c r="W13" s="776" t="s">
        <v>521</v>
      </c>
    </row>
    <row r="14" spans="1:23" ht="16.5">
      <c r="A14" s="772" t="s">
        <v>532</v>
      </c>
      <c r="B14" s="781"/>
      <c r="C14" s="773" t="s">
        <v>620</v>
      </c>
      <c r="D14" s="782">
        <v>0</v>
      </c>
      <c r="E14" s="782">
        <v>0</v>
      </c>
      <c r="F14" s="775">
        <v>596</v>
      </c>
      <c r="G14" s="725">
        <v>619</v>
      </c>
      <c r="H14" s="725">
        <v>583</v>
      </c>
      <c r="I14" s="776" t="s">
        <v>521</v>
      </c>
      <c r="J14" s="783">
        <v>8267</v>
      </c>
      <c r="K14" s="784">
        <v>7704</v>
      </c>
      <c r="L14" s="785">
        <v>6946</v>
      </c>
      <c r="M14" s="785">
        <v>5599</v>
      </c>
      <c r="N14" s="779">
        <v>4484</v>
      </c>
      <c r="O14" s="779">
        <v>4577</v>
      </c>
      <c r="P14" s="779">
        <v>4007</v>
      </c>
      <c r="Q14" s="779">
        <v>3474</v>
      </c>
      <c r="R14" s="779">
        <v>2242</v>
      </c>
      <c r="S14" s="779"/>
      <c r="T14" s="779"/>
      <c r="U14" s="775"/>
      <c r="V14" s="780" t="s">
        <v>521</v>
      </c>
      <c r="W14" s="776" t="s">
        <v>521</v>
      </c>
    </row>
    <row r="15" spans="1:23" ht="17.25" thickBot="1">
      <c r="A15" s="750" t="s">
        <v>534</v>
      </c>
      <c r="B15" s="751"/>
      <c r="C15" s="786" t="s">
        <v>621</v>
      </c>
      <c r="D15" s="787">
        <v>869</v>
      </c>
      <c r="E15" s="787">
        <v>1024</v>
      </c>
      <c r="F15" s="722">
        <v>1443</v>
      </c>
      <c r="G15" s="723">
        <v>1237</v>
      </c>
      <c r="H15" s="723">
        <v>1222</v>
      </c>
      <c r="I15" s="758" t="s">
        <v>521</v>
      </c>
      <c r="J15" s="788">
        <v>1190</v>
      </c>
      <c r="K15" s="722">
        <v>1374</v>
      </c>
      <c r="L15" s="756">
        <v>1466</v>
      </c>
      <c r="M15" s="756">
        <v>2029</v>
      </c>
      <c r="N15" s="722">
        <v>2506</v>
      </c>
      <c r="O15" s="722">
        <v>1827</v>
      </c>
      <c r="P15" s="722">
        <v>1677</v>
      </c>
      <c r="Q15" s="722">
        <v>1526</v>
      </c>
      <c r="R15" s="722">
        <v>2285</v>
      </c>
      <c r="S15" s="722"/>
      <c r="T15" s="722"/>
      <c r="U15" s="722"/>
      <c r="V15" s="757" t="s">
        <v>521</v>
      </c>
      <c r="W15" s="758" t="s">
        <v>521</v>
      </c>
    </row>
    <row r="16" spans="1:23" ht="17.25" thickBot="1">
      <c r="A16" s="789" t="s">
        <v>537</v>
      </c>
      <c r="B16" s="790"/>
      <c r="C16" s="791"/>
      <c r="D16" s="792">
        <v>1838</v>
      </c>
      <c r="E16" s="792">
        <v>1811</v>
      </c>
      <c r="F16" s="793">
        <v>2420</v>
      </c>
      <c r="G16" s="794">
        <v>2454</v>
      </c>
      <c r="H16" s="794">
        <v>2295</v>
      </c>
      <c r="I16" s="795" t="s">
        <v>521</v>
      </c>
      <c r="J16" s="793">
        <v>16994</v>
      </c>
      <c r="K16" s="796">
        <v>16630</v>
      </c>
      <c r="L16" s="797">
        <v>15967</v>
      </c>
      <c r="M16" s="797">
        <v>15187</v>
      </c>
      <c r="N16" s="796">
        <v>14549</v>
      </c>
      <c r="O16" s="796">
        <v>13977</v>
      </c>
      <c r="P16" s="796">
        <v>13261</v>
      </c>
      <c r="Q16" s="796">
        <v>12630</v>
      </c>
      <c r="R16" s="796">
        <v>12123</v>
      </c>
      <c r="S16" s="796"/>
      <c r="T16" s="796"/>
      <c r="U16" s="793"/>
      <c r="V16" s="798" t="s">
        <v>521</v>
      </c>
      <c r="W16" s="795" t="s">
        <v>521</v>
      </c>
    </row>
    <row r="17" spans="1:23" ht="16.5">
      <c r="A17" s="750" t="s">
        <v>622</v>
      </c>
      <c r="B17" s="751"/>
      <c r="C17" s="786" t="s">
        <v>623</v>
      </c>
      <c r="D17" s="787">
        <v>833</v>
      </c>
      <c r="E17" s="787">
        <v>540</v>
      </c>
      <c r="F17" s="722">
        <v>401</v>
      </c>
      <c r="G17" s="723">
        <v>379</v>
      </c>
      <c r="H17" s="723">
        <v>293</v>
      </c>
      <c r="I17" s="758" t="s">
        <v>521</v>
      </c>
      <c r="J17" s="788">
        <v>286</v>
      </c>
      <c r="K17" s="722">
        <v>279</v>
      </c>
      <c r="L17" s="756">
        <v>272</v>
      </c>
      <c r="M17" s="756">
        <v>265</v>
      </c>
      <c r="N17" s="722">
        <v>258</v>
      </c>
      <c r="O17" s="722">
        <v>251</v>
      </c>
      <c r="P17" s="722">
        <v>245</v>
      </c>
      <c r="Q17" s="722">
        <v>238</v>
      </c>
      <c r="R17" s="722">
        <v>231</v>
      </c>
      <c r="S17" s="722"/>
      <c r="T17" s="722"/>
      <c r="U17" s="722"/>
      <c r="V17" s="757" t="s">
        <v>521</v>
      </c>
      <c r="W17" s="758" t="s">
        <v>521</v>
      </c>
    </row>
    <row r="18" spans="1:23" ht="16.5">
      <c r="A18" s="772" t="s">
        <v>624</v>
      </c>
      <c r="B18" s="781"/>
      <c r="C18" s="773" t="s">
        <v>625</v>
      </c>
      <c r="D18" s="774">
        <v>584</v>
      </c>
      <c r="E18" s="774">
        <v>483</v>
      </c>
      <c r="F18" s="775">
        <v>781</v>
      </c>
      <c r="G18" s="725">
        <v>725</v>
      </c>
      <c r="H18" s="725">
        <v>698</v>
      </c>
      <c r="I18" s="776" t="s">
        <v>521</v>
      </c>
      <c r="J18" s="775">
        <v>710</v>
      </c>
      <c r="K18" s="779">
        <v>723</v>
      </c>
      <c r="L18" s="778">
        <v>732</v>
      </c>
      <c r="M18" s="778">
        <v>770</v>
      </c>
      <c r="N18" s="779">
        <v>783</v>
      </c>
      <c r="O18" s="779">
        <v>796</v>
      </c>
      <c r="P18" s="779">
        <v>809</v>
      </c>
      <c r="Q18" s="779">
        <v>818</v>
      </c>
      <c r="R18" s="779">
        <v>832</v>
      </c>
      <c r="S18" s="779"/>
      <c r="T18" s="779"/>
      <c r="U18" s="775"/>
      <c r="V18" s="780" t="s">
        <v>521</v>
      </c>
      <c r="W18" s="776" t="s">
        <v>521</v>
      </c>
    </row>
    <row r="19" spans="1:23" ht="16.5">
      <c r="A19" s="772" t="s">
        <v>543</v>
      </c>
      <c r="B19" s="781"/>
      <c r="C19" s="773" t="s">
        <v>626</v>
      </c>
      <c r="D19" s="782">
        <v>0</v>
      </c>
      <c r="E19" s="782">
        <v>0</v>
      </c>
      <c r="F19" s="775">
        <v>0</v>
      </c>
      <c r="G19" s="725">
        <v>0</v>
      </c>
      <c r="H19" s="725">
        <v>0</v>
      </c>
      <c r="I19" s="776" t="s">
        <v>521</v>
      </c>
      <c r="J19" s="783">
        <v>0</v>
      </c>
      <c r="K19" s="784">
        <v>0</v>
      </c>
      <c r="L19" s="785">
        <v>0</v>
      </c>
      <c r="M19" s="785">
        <v>0</v>
      </c>
      <c r="N19" s="779">
        <v>0</v>
      </c>
      <c r="O19" s="779">
        <v>0</v>
      </c>
      <c r="P19" s="779">
        <v>0</v>
      </c>
      <c r="Q19" s="779">
        <v>0</v>
      </c>
      <c r="R19" s="779">
        <v>0</v>
      </c>
      <c r="S19" s="779"/>
      <c r="T19" s="779"/>
      <c r="U19" s="775"/>
      <c r="V19" s="780" t="s">
        <v>521</v>
      </c>
      <c r="W19" s="776" t="s">
        <v>521</v>
      </c>
    </row>
    <row r="20" spans="1:23" ht="16.5">
      <c r="A20" s="772" t="s">
        <v>545</v>
      </c>
      <c r="B20" s="751"/>
      <c r="C20" s="773" t="s">
        <v>627</v>
      </c>
      <c r="D20" s="782">
        <v>225</v>
      </c>
      <c r="E20" s="782">
        <v>259</v>
      </c>
      <c r="F20" s="775">
        <v>1239</v>
      </c>
      <c r="G20" s="725">
        <v>1146</v>
      </c>
      <c r="H20" s="725">
        <v>1125</v>
      </c>
      <c r="I20" s="776" t="s">
        <v>521</v>
      </c>
      <c r="J20" s="783">
        <v>8651</v>
      </c>
      <c r="K20" s="784">
        <v>8187</v>
      </c>
      <c r="L20" s="785">
        <v>7712</v>
      </c>
      <c r="M20" s="785">
        <v>6151</v>
      </c>
      <c r="N20" s="779">
        <v>5522</v>
      </c>
      <c r="O20" s="779">
        <v>5255</v>
      </c>
      <c r="P20" s="779">
        <v>4562</v>
      </c>
      <c r="Q20" s="779">
        <v>3872</v>
      </c>
      <c r="R20" s="779">
        <v>2729</v>
      </c>
      <c r="S20" s="779"/>
      <c r="T20" s="779"/>
      <c r="U20" s="775"/>
      <c r="V20" s="780" t="s">
        <v>521</v>
      </c>
      <c r="W20" s="776" t="s">
        <v>521</v>
      </c>
    </row>
    <row r="21" spans="1:23" ht="17.25" thickBot="1">
      <c r="A21" s="772" t="s">
        <v>547</v>
      </c>
      <c r="B21" s="760"/>
      <c r="C21" s="773" t="s">
        <v>628</v>
      </c>
      <c r="D21" s="782">
        <v>0</v>
      </c>
      <c r="E21" s="782">
        <v>0</v>
      </c>
      <c r="F21" s="775">
        <v>0</v>
      </c>
      <c r="G21" s="799">
        <v>0</v>
      </c>
      <c r="H21" s="799">
        <v>0</v>
      </c>
      <c r="I21" s="776" t="s">
        <v>521</v>
      </c>
      <c r="J21" s="783">
        <v>0</v>
      </c>
      <c r="K21" s="784">
        <v>0</v>
      </c>
      <c r="L21" s="785">
        <v>0</v>
      </c>
      <c r="M21" s="785">
        <v>0</v>
      </c>
      <c r="N21" s="779">
        <v>0</v>
      </c>
      <c r="O21" s="779">
        <v>0</v>
      </c>
      <c r="P21" s="779">
        <v>0</v>
      </c>
      <c r="Q21" s="779">
        <v>0</v>
      </c>
      <c r="R21" s="779">
        <v>0</v>
      </c>
      <c r="S21" s="779"/>
      <c r="T21" s="779"/>
      <c r="U21" s="775"/>
      <c r="V21" s="780" t="s">
        <v>521</v>
      </c>
      <c r="W21" s="776" t="s">
        <v>521</v>
      </c>
    </row>
    <row r="22" spans="1:23" ht="16.5">
      <c r="A22" s="800" t="s">
        <v>549</v>
      </c>
      <c r="B22" s="751"/>
      <c r="C22" s="801"/>
      <c r="D22" s="802">
        <v>6805</v>
      </c>
      <c r="E22" s="802">
        <v>6979</v>
      </c>
      <c r="F22" s="724">
        <v>8746</v>
      </c>
      <c r="G22" s="724">
        <v>8318</v>
      </c>
      <c r="H22" s="724">
        <v>8465</v>
      </c>
      <c r="I22" s="803">
        <v>8555</v>
      </c>
      <c r="J22" s="804">
        <v>586</v>
      </c>
      <c r="K22" s="777">
        <v>586</v>
      </c>
      <c r="L22" s="777">
        <v>586</v>
      </c>
      <c r="M22" s="777">
        <v>1346</v>
      </c>
      <c r="N22" s="777">
        <v>586</v>
      </c>
      <c r="O22" s="777">
        <v>591</v>
      </c>
      <c r="P22" s="777">
        <v>586</v>
      </c>
      <c r="Q22" s="777">
        <v>623</v>
      </c>
      <c r="R22" s="777">
        <v>1351</v>
      </c>
      <c r="S22" s="777"/>
      <c r="T22" s="777"/>
      <c r="U22" s="804"/>
      <c r="V22" s="805">
        <f>SUM(J22:U22)</f>
        <v>6841</v>
      </c>
      <c r="W22" s="806">
        <f>+V22/I22*100</f>
        <v>79.96493278784337</v>
      </c>
    </row>
    <row r="23" spans="1:23" ht="16.5">
      <c r="A23" s="772" t="s">
        <v>551</v>
      </c>
      <c r="B23" s="781"/>
      <c r="C23" s="807"/>
      <c r="D23" s="774"/>
      <c r="E23" s="774"/>
      <c r="F23" s="725">
        <v>130</v>
      </c>
      <c r="G23" s="725">
        <v>0</v>
      </c>
      <c r="H23" s="725">
        <v>0</v>
      </c>
      <c r="I23" s="808">
        <v>0</v>
      </c>
      <c r="J23" s="775">
        <v>0</v>
      </c>
      <c r="K23" s="779">
        <v>0</v>
      </c>
      <c r="L23" s="779">
        <v>0</v>
      </c>
      <c r="M23" s="779">
        <v>0</v>
      </c>
      <c r="N23" s="779">
        <v>0</v>
      </c>
      <c r="O23" s="779">
        <v>0</v>
      </c>
      <c r="P23" s="779">
        <v>0</v>
      </c>
      <c r="Q23" s="779">
        <v>0</v>
      </c>
      <c r="R23" s="779">
        <v>0</v>
      </c>
      <c r="S23" s="779"/>
      <c r="T23" s="779"/>
      <c r="U23" s="775"/>
      <c r="V23" s="809">
        <f>SUM(J23:U23)</f>
        <v>0</v>
      </c>
      <c r="W23" s="810" t="e">
        <f>+V23/I23*100</f>
        <v>#DIV/0!</v>
      </c>
    </row>
    <row r="24" spans="1:23" ht="17.25" thickBot="1">
      <c r="A24" s="811" t="s">
        <v>553</v>
      </c>
      <c r="B24" s="751"/>
      <c r="C24" s="812"/>
      <c r="D24" s="813">
        <v>6505</v>
      </c>
      <c r="E24" s="813">
        <v>6369</v>
      </c>
      <c r="F24" s="726">
        <v>7026</v>
      </c>
      <c r="G24" s="726">
        <v>6712</v>
      </c>
      <c r="H24" s="726">
        <v>6700</v>
      </c>
      <c r="I24" s="814">
        <v>7040</v>
      </c>
      <c r="J24" s="815">
        <v>586</v>
      </c>
      <c r="K24" s="816">
        <v>586</v>
      </c>
      <c r="L24" s="816">
        <v>586</v>
      </c>
      <c r="M24" s="816">
        <v>586</v>
      </c>
      <c r="N24" s="816">
        <v>586</v>
      </c>
      <c r="O24" s="816">
        <v>586</v>
      </c>
      <c r="P24" s="816">
        <v>586</v>
      </c>
      <c r="Q24" s="816">
        <v>586</v>
      </c>
      <c r="R24" s="816">
        <v>586</v>
      </c>
      <c r="S24" s="816"/>
      <c r="T24" s="816"/>
      <c r="U24" s="815"/>
      <c r="V24" s="817">
        <f>SUM(J24:U24)</f>
        <v>5274</v>
      </c>
      <c r="W24" s="818">
        <f>+V24/I24*100</f>
        <v>74.91477272727273</v>
      </c>
    </row>
    <row r="25" spans="1:23" ht="16.5">
      <c r="A25" s="772" t="s">
        <v>554</v>
      </c>
      <c r="B25" s="819" t="s">
        <v>629</v>
      </c>
      <c r="C25" s="773" t="s">
        <v>630</v>
      </c>
      <c r="D25" s="774">
        <v>2275</v>
      </c>
      <c r="E25" s="774">
        <v>2131</v>
      </c>
      <c r="F25" s="725">
        <v>1301</v>
      </c>
      <c r="G25" s="725">
        <v>1400</v>
      </c>
      <c r="H25" s="725">
        <v>1387</v>
      </c>
      <c r="I25" s="820">
        <v>1210</v>
      </c>
      <c r="J25" s="775">
        <v>26</v>
      </c>
      <c r="K25" s="779">
        <v>52</v>
      </c>
      <c r="L25" s="779">
        <v>85</v>
      </c>
      <c r="M25" s="779">
        <v>97</v>
      </c>
      <c r="N25" s="779">
        <v>118</v>
      </c>
      <c r="O25" s="779">
        <v>111</v>
      </c>
      <c r="P25" s="779">
        <v>68</v>
      </c>
      <c r="Q25" s="779">
        <v>61</v>
      </c>
      <c r="R25" s="779">
        <v>142</v>
      </c>
      <c r="S25" s="779"/>
      <c r="T25" s="779"/>
      <c r="U25" s="775"/>
      <c r="V25" s="809">
        <f aca="true" t="shared" si="0" ref="V25:V35">SUM(J25:U25)</f>
        <v>760</v>
      </c>
      <c r="W25" s="810">
        <f aca="true" t="shared" si="1" ref="W25:W35">+V25/I25*100</f>
        <v>62.8099173553719</v>
      </c>
    </row>
    <row r="26" spans="1:23" ht="16.5">
      <c r="A26" s="772" t="s">
        <v>556</v>
      </c>
      <c r="B26" s="821" t="s">
        <v>631</v>
      </c>
      <c r="C26" s="773" t="s">
        <v>632</v>
      </c>
      <c r="D26" s="782">
        <v>269</v>
      </c>
      <c r="E26" s="782">
        <v>415</v>
      </c>
      <c r="F26" s="727">
        <v>809</v>
      </c>
      <c r="G26" s="727">
        <v>848</v>
      </c>
      <c r="H26" s="727">
        <v>791</v>
      </c>
      <c r="I26" s="808">
        <v>840</v>
      </c>
      <c r="J26" s="775">
        <v>37</v>
      </c>
      <c r="K26" s="779">
        <v>11</v>
      </c>
      <c r="L26" s="779">
        <v>157</v>
      </c>
      <c r="M26" s="779">
        <v>24</v>
      </c>
      <c r="N26" s="779">
        <v>7</v>
      </c>
      <c r="O26" s="779">
        <v>169</v>
      </c>
      <c r="P26" s="779">
        <v>18</v>
      </c>
      <c r="Q26" s="779">
        <v>7</v>
      </c>
      <c r="R26" s="779">
        <v>169</v>
      </c>
      <c r="S26" s="779"/>
      <c r="T26" s="779"/>
      <c r="U26" s="775"/>
      <c r="V26" s="809">
        <f t="shared" si="0"/>
        <v>599</v>
      </c>
      <c r="W26" s="810">
        <f t="shared" si="1"/>
        <v>71.30952380952381</v>
      </c>
    </row>
    <row r="27" spans="1:23" ht="16.5">
      <c r="A27" s="772" t="s">
        <v>558</v>
      </c>
      <c r="B27" s="822" t="s">
        <v>633</v>
      </c>
      <c r="C27" s="773" t="s">
        <v>634</v>
      </c>
      <c r="D27" s="782">
        <v>0</v>
      </c>
      <c r="E27" s="782">
        <v>1</v>
      </c>
      <c r="F27" s="727">
        <v>1</v>
      </c>
      <c r="G27" s="727">
        <v>2</v>
      </c>
      <c r="H27" s="727">
        <v>0</v>
      </c>
      <c r="I27" s="808">
        <v>0</v>
      </c>
      <c r="J27" s="775">
        <v>0</v>
      </c>
      <c r="K27" s="779">
        <v>0</v>
      </c>
      <c r="L27" s="779">
        <v>0</v>
      </c>
      <c r="M27" s="779">
        <v>0</v>
      </c>
      <c r="N27" s="779">
        <v>0</v>
      </c>
      <c r="O27" s="779">
        <v>0</v>
      </c>
      <c r="P27" s="779">
        <v>0</v>
      </c>
      <c r="Q27" s="779">
        <v>0</v>
      </c>
      <c r="R27" s="779">
        <v>0</v>
      </c>
      <c r="S27" s="779"/>
      <c r="T27" s="779"/>
      <c r="U27" s="775"/>
      <c r="V27" s="809">
        <f t="shared" si="0"/>
        <v>0</v>
      </c>
      <c r="W27" s="810" t="e">
        <f t="shared" si="1"/>
        <v>#DIV/0!</v>
      </c>
    </row>
    <row r="28" spans="1:23" ht="16.5">
      <c r="A28" s="772" t="s">
        <v>560</v>
      </c>
      <c r="B28" s="822" t="s">
        <v>635</v>
      </c>
      <c r="C28" s="773" t="s">
        <v>636</v>
      </c>
      <c r="D28" s="782">
        <v>582</v>
      </c>
      <c r="E28" s="782">
        <v>430</v>
      </c>
      <c r="F28" s="727">
        <v>233</v>
      </c>
      <c r="G28" s="727">
        <v>60</v>
      </c>
      <c r="H28" s="727">
        <v>160</v>
      </c>
      <c r="I28" s="808">
        <v>71</v>
      </c>
      <c r="J28" s="775">
        <v>4</v>
      </c>
      <c r="K28" s="779">
        <v>0</v>
      </c>
      <c r="L28" s="779">
        <v>2</v>
      </c>
      <c r="M28" s="779">
        <v>0</v>
      </c>
      <c r="N28" s="779">
        <v>2</v>
      </c>
      <c r="O28" s="779">
        <v>2</v>
      </c>
      <c r="P28" s="779">
        <v>1</v>
      </c>
      <c r="Q28" s="779">
        <v>0</v>
      </c>
      <c r="R28" s="779">
        <v>1</v>
      </c>
      <c r="S28" s="779"/>
      <c r="T28" s="779"/>
      <c r="U28" s="775"/>
      <c r="V28" s="809">
        <f t="shared" si="0"/>
        <v>12</v>
      </c>
      <c r="W28" s="810">
        <f t="shared" si="1"/>
        <v>16.901408450704224</v>
      </c>
    </row>
    <row r="29" spans="1:23" ht="16.5">
      <c r="A29" s="772" t="s">
        <v>562</v>
      </c>
      <c r="B29" s="821" t="s">
        <v>637</v>
      </c>
      <c r="C29" s="773" t="s">
        <v>638</v>
      </c>
      <c r="D29" s="782">
        <v>566</v>
      </c>
      <c r="E29" s="782">
        <v>656</v>
      </c>
      <c r="F29" s="727">
        <v>496</v>
      </c>
      <c r="G29" s="727">
        <v>517</v>
      </c>
      <c r="H29" s="727">
        <v>507</v>
      </c>
      <c r="I29" s="808">
        <v>596</v>
      </c>
      <c r="J29" s="775">
        <v>39</v>
      </c>
      <c r="K29" s="779">
        <v>25</v>
      </c>
      <c r="L29" s="779">
        <v>41</v>
      </c>
      <c r="M29" s="779">
        <v>38</v>
      </c>
      <c r="N29" s="779">
        <v>34</v>
      </c>
      <c r="O29" s="779">
        <v>44</v>
      </c>
      <c r="P29" s="779">
        <v>48</v>
      </c>
      <c r="Q29" s="779">
        <v>33</v>
      </c>
      <c r="R29" s="779">
        <v>30</v>
      </c>
      <c r="S29" s="779"/>
      <c r="T29" s="779"/>
      <c r="U29" s="775"/>
      <c r="V29" s="809">
        <f t="shared" si="0"/>
        <v>332</v>
      </c>
      <c r="W29" s="810">
        <f t="shared" si="1"/>
        <v>55.70469798657718</v>
      </c>
    </row>
    <row r="30" spans="1:23" ht="16.5">
      <c r="A30" s="772" t="s">
        <v>564</v>
      </c>
      <c r="B30" s="822" t="s">
        <v>639</v>
      </c>
      <c r="C30" s="773" t="s">
        <v>640</v>
      </c>
      <c r="D30" s="782">
        <v>2457</v>
      </c>
      <c r="E30" s="782">
        <v>2785</v>
      </c>
      <c r="F30" s="727">
        <v>4649</v>
      </c>
      <c r="G30" s="727">
        <v>4450</v>
      </c>
      <c r="H30" s="727">
        <v>4485</v>
      </c>
      <c r="I30" s="808">
        <v>4600</v>
      </c>
      <c r="J30" s="775">
        <v>350</v>
      </c>
      <c r="K30" s="779">
        <v>353</v>
      </c>
      <c r="L30" s="779">
        <v>403</v>
      </c>
      <c r="M30" s="779">
        <v>341</v>
      </c>
      <c r="N30" s="779">
        <v>346</v>
      </c>
      <c r="O30" s="779">
        <v>469</v>
      </c>
      <c r="P30" s="779">
        <v>376</v>
      </c>
      <c r="Q30" s="779">
        <v>362</v>
      </c>
      <c r="R30" s="779">
        <v>361</v>
      </c>
      <c r="S30" s="779"/>
      <c r="T30" s="779"/>
      <c r="U30" s="775"/>
      <c r="V30" s="809">
        <f>SUM(J30:U30)</f>
        <v>3361</v>
      </c>
      <c r="W30" s="810">
        <f>+V30/I30*100</f>
        <v>73.06521739130434</v>
      </c>
    </row>
    <row r="31" spans="1:23" ht="16.5">
      <c r="A31" s="772" t="s">
        <v>566</v>
      </c>
      <c r="B31" s="822" t="s">
        <v>641</v>
      </c>
      <c r="C31" s="773" t="s">
        <v>642</v>
      </c>
      <c r="D31" s="782">
        <v>943</v>
      </c>
      <c r="E31" s="782">
        <v>1044</v>
      </c>
      <c r="F31" s="727">
        <v>1758</v>
      </c>
      <c r="G31" s="727">
        <v>1671</v>
      </c>
      <c r="H31" s="727">
        <v>1563</v>
      </c>
      <c r="I31" s="808">
        <v>1623</v>
      </c>
      <c r="J31" s="775">
        <v>124</v>
      </c>
      <c r="K31" s="779">
        <v>122</v>
      </c>
      <c r="L31" s="779">
        <v>141</v>
      </c>
      <c r="M31" s="779">
        <v>119</v>
      </c>
      <c r="N31" s="779">
        <v>118</v>
      </c>
      <c r="O31" s="779">
        <v>163</v>
      </c>
      <c r="P31" s="779">
        <v>134</v>
      </c>
      <c r="Q31" s="779">
        <v>124</v>
      </c>
      <c r="R31" s="779">
        <v>124</v>
      </c>
      <c r="S31" s="779"/>
      <c r="T31" s="779"/>
      <c r="U31" s="775"/>
      <c r="V31" s="809">
        <f>SUM(J31:U31)</f>
        <v>1169</v>
      </c>
      <c r="W31" s="810">
        <f>+V31/I31*100</f>
        <v>72.02711028958718</v>
      </c>
    </row>
    <row r="32" spans="1:23" ht="16.5">
      <c r="A32" s="772" t="s">
        <v>569</v>
      </c>
      <c r="B32" s="821" t="s">
        <v>643</v>
      </c>
      <c r="C32" s="773" t="s">
        <v>644</v>
      </c>
      <c r="D32" s="782">
        <v>0</v>
      </c>
      <c r="E32" s="782">
        <v>0</v>
      </c>
      <c r="F32" s="727">
        <v>0</v>
      </c>
      <c r="G32" s="727">
        <v>0</v>
      </c>
      <c r="H32" s="727">
        <v>0</v>
      </c>
      <c r="I32" s="808">
        <v>0</v>
      </c>
      <c r="J32" s="775">
        <v>0</v>
      </c>
      <c r="K32" s="779">
        <v>0</v>
      </c>
      <c r="L32" s="779">
        <v>0</v>
      </c>
      <c r="M32" s="779">
        <v>0</v>
      </c>
      <c r="N32" s="779">
        <v>0</v>
      </c>
      <c r="O32" s="779">
        <v>0</v>
      </c>
      <c r="P32" s="779">
        <v>0</v>
      </c>
      <c r="Q32" s="779">
        <v>0</v>
      </c>
      <c r="R32" s="779">
        <v>0</v>
      </c>
      <c r="S32" s="779"/>
      <c r="T32" s="779"/>
      <c r="U32" s="775"/>
      <c r="V32" s="809">
        <f t="shared" si="0"/>
        <v>0</v>
      </c>
      <c r="W32" s="810" t="e">
        <f t="shared" si="1"/>
        <v>#DIV/0!</v>
      </c>
    </row>
    <row r="33" spans="1:23" ht="16.5">
      <c r="A33" s="772" t="s">
        <v>645</v>
      </c>
      <c r="B33" s="822" t="s">
        <v>646</v>
      </c>
      <c r="C33" s="773" t="s">
        <v>647</v>
      </c>
      <c r="D33" s="782"/>
      <c r="E33" s="782"/>
      <c r="F33" s="727">
        <v>0</v>
      </c>
      <c r="G33" s="727">
        <v>0</v>
      </c>
      <c r="H33" s="727">
        <v>428</v>
      </c>
      <c r="I33" s="808">
        <v>90</v>
      </c>
      <c r="J33" s="775">
        <v>17</v>
      </c>
      <c r="K33" s="779">
        <v>1</v>
      </c>
      <c r="L33" s="779">
        <v>3</v>
      </c>
      <c r="M33" s="779">
        <v>3</v>
      </c>
      <c r="N33" s="779">
        <v>0</v>
      </c>
      <c r="O33" s="779">
        <v>7</v>
      </c>
      <c r="P33" s="779">
        <v>0</v>
      </c>
      <c r="Q33" s="779">
        <v>45</v>
      </c>
      <c r="R33" s="779">
        <v>2</v>
      </c>
      <c r="S33" s="779"/>
      <c r="T33" s="779"/>
      <c r="U33" s="775"/>
      <c r="V33" s="809">
        <f t="shared" si="0"/>
        <v>78</v>
      </c>
      <c r="W33" s="810">
        <f t="shared" si="1"/>
        <v>86.66666666666667</v>
      </c>
    </row>
    <row r="34" spans="1:23" ht="16.5">
      <c r="A34" s="772" t="s">
        <v>571</v>
      </c>
      <c r="B34" s="822" t="s">
        <v>648</v>
      </c>
      <c r="C34" s="773" t="s">
        <v>649</v>
      </c>
      <c r="D34" s="782">
        <v>318</v>
      </c>
      <c r="E34" s="782">
        <v>252</v>
      </c>
      <c r="F34" s="727">
        <v>88</v>
      </c>
      <c r="G34" s="727">
        <v>99</v>
      </c>
      <c r="H34" s="727">
        <v>104</v>
      </c>
      <c r="I34" s="808">
        <v>134</v>
      </c>
      <c r="J34" s="775">
        <v>11</v>
      </c>
      <c r="K34" s="779">
        <v>11</v>
      </c>
      <c r="L34" s="779">
        <v>11</v>
      </c>
      <c r="M34" s="779">
        <v>11</v>
      </c>
      <c r="N34" s="779">
        <v>11</v>
      </c>
      <c r="O34" s="779">
        <v>11</v>
      </c>
      <c r="P34" s="779">
        <v>11</v>
      </c>
      <c r="Q34" s="779">
        <v>11</v>
      </c>
      <c r="R34" s="779">
        <v>11</v>
      </c>
      <c r="S34" s="779"/>
      <c r="T34" s="779"/>
      <c r="U34" s="775"/>
      <c r="V34" s="809">
        <f t="shared" si="0"/>
        <v>99</v>
      </c>
      <c r="W34" s="810">
        <f t="shared" si="1"/>
        <v>73.88059701492537</v>
      </c>
    </row>
    <row r="35" spans="1:23" ht="17.25" thickBot="1">
      <c r="A35" s="750" t="s">
        <v>607</v>
      </c>
      <c r="B35" s="823"/>
      <c r="C35" s="786"/>
      <c r="D35" s="787">
        <v>98</v>
      </c>
      <c r="E35" s="787">
        <v>128</v>
      </c>
      <c r="F35" s="723">
        <v>70</v>
      </c>
      <c r="G35" s="723">
        <v>77</v>
      </c>
      <c r="H35" s="723">
        <v>64</v>
      </c>
      <c r="I35" s="824">
        <v>71</v>
      </c>
      <c r="J35" s="728">
        <v>1</v>
      </c>
      <c r="K35" s="722">
        <v>0</v>
      </c>
      <c r="L35" s="722">
        <v>9</v>
      </c>
      <c r="M35" s="722">
        <v>8</v>
      </c>
      <c r="N35" s="722">
        <v>12</v>
      </c>
      <c r="O35" s="722">
        <v>5</v>
      </c>
      <c r="P35" s="722">
        <v>7</v>
      </c>
      <c r="Q35" s="722">
        <v>3</v>
      </c>
      <c r="R35" s="722">
        <v>6</v>
      </c>
      <c r="S35" s="722"/>
      <c r="T35" s="722"/>
      <c r="U35" s="722"/>
      <c r="V35" s="825">
        <f t="shared" si="0"/>
        <v>51</v>
      </c>
      <c r="W35" s="826">
        <f t="shared" si="1"/>
        <v>71.83098591549296</v>
      </c>
    </row>
    <row r="36" spans="1:23" ht="17.25" thickBot="1">
      <c r="A36" s="827" t="s">
        <v>650</v>
      </c>
      <c r="B36" s="821"/>
      <c r="C36" s="828" t="s">
        <v>651</v>
      </c>
      <c r="D36" s="532">
        <v>7508</v>
      </c>
      <c r="E36" s="532">
        <f aca="true" t="shared" si="2" ref="E36:U36">SUM(E25:E35)</f>
        <v>7842</v>
      </c>
      <c r="F36" s="794">
        <f>SUM(F25:F35)</f>
        <v>9405</v>
      </c>
      <c r="G36" s="794">
        <f>SUM(G25:G35)</f>
        <v>9124</v>
      </c>
      <c r="H36" s="794">
        <f>SUM(H25:H35)</f>
        <v>9489</v>
      </c>
      <c r="I36" s="829">
        <f t="shared" si="2"/>
        <v>9235</v>
      </c>
      <c r="J36" s="793">
        <f t="shared" si="2"/>
        <v>609</v>
      </c>
      <c r="K36" s="796">
        <f t="shared" si="2"/>
        <v>575</v>
      </c>
      <c r="L36" s="797">
        <f t="shared" si="2"/>
        <v>852</v>
      </c>
      <c r="M36" s="797">
        <f t="shared" si="2"/>
        <v>641</v>
      </c>
      <c r="N36" s="796">
        <f t="shared" si="2"/>
        <v>648</v>
      </c>
      <c r="O36" s="796">
        <f t="shared" si="2"/>
        <v>981</v>
      </c>
      <c r="P36" s="796">
        <f t="shared" si="2"/>
        <v>663</v>
      </c>
      <c r="Q36" s="796">
        <f t="shared" si="2"/>
        <v>646</v>
      </c>
      <c r="R36" s="796">
        <f t="shared" si="2"/>
        <v>846</v>
      </c>
      <c r="S36" s="796">
        <f>SUM(S25:S35)</f>
        <v>0</v>
      </c>
      <c r="T36" s="796">
        <f t="shared" si="2"/>
        <v>0</v>
      </c>
      <c r="U36" s="796">
        <f t="shared" si="2"/>
        <v>0</v>
      </c>
      <c r="V36" s="830">
        <f>V25+V26+V27+V28+V29+V30+V31+V32+V33+V34+V35</f>
        <v>6461</v>
      </c>
      <c r="W36" s="831">
        <f>+V36/I36*100</f>
        <v>69.96210070384407</v>
      </c>
    </row>
    <row r="37" spans="1:23" ht="16.5">
      <c r="A37" s="772" t="s">
        <v>652</v>
      </c>
      <c r="B37" s="819" t="s">
        <v>653</v>
      </c>
      <c r="C37" s="773" t="s">
        <v>654</v>
      </c>
      <c r="D37" s="774">
        <v>0</v>
      </c>
      <c r="E37" s="774">
        <v>0</v>
      </c>
      <c r="F37" s="725">
        <v>0</v>
      </c>
      <c r="G37" s="725">
        <v>0</v>
      </c>
      <c r="H37" s="725">
        <v>0</v>
      </c>
      <c r="I37" s="820">
        <v>0</v>
      </c>
      <c r="J37" s="775">
        <v>0</v>
      </c>
      <c r="K37" s="779">
        <v>0</v>
      </c>
      <c r="L37" s="779">
        <v>0</v>
      </c>
      <c r="M37" s="779">
        <v>0</v>
      </c>
      <c r="N37" s="779">
        <v>0</v>
      </c>
      <c r="O37" s="779">
        <v>0</v>
      </c>
      <c r="P37" s="779">
        <v>0</v>
      </c>
      <c r="Q37" s="779">
        <v>0</v>
      </c>
      <c r="R37" s="779">
        <v>0</v>
      </c>
      <c r="S37" s="779"/>
      <c r="T37" s="779"/>
      <c r="U37" s="775"/>
      <c r="V37" s="809">
        <f aca="true" t="shared" si="3" ref="V37:V42">SUM(J37:U37)</f>
        <v>0</v>
      </c>
      <c r="W37" s="810" t="e">
        <f aca="true" t="shared" si="4" ref="W37:W42">+V37/I37*100</f>
        <v>#DIV/0!</v>
      </c>
    </row>
    <row r="38" spans="1:23" ht="16.5">
      <c r="A38" s="772" t="s">
        <v>655</v>
      </c>
      <c r="B38" s="822" t="s">
        <v>656</v>
      </c>
      <c r="C38" s="773" t="s">
        <v>657</v>
      </c>
      <c r="D38" s="782">
        <v>716</v>
      </c>
      <c r="E38" s="782">
        <v>715</v>
      </c>
      <c r="F38" s="727">
        <v>507</v>
      </c>
      <c r="G38" s="727">
        <v>527</v>
      </c>
      <c r="H38" s="727">
        <v>495</v>
      </c>
      <c r="I38" s="808">
        <v>530</v>
      </c>
      <c r="J38" s="775">
        <v>71</v>
      </c>
      <c r="K38" s="779">
        <v>56</v>
      </c>
      <c r="L38" s="779">
        <v>54</v>
      </c>
      <c r="M38" s="779">
        <v>51</v>
      </c>
      <c r="N38" s="779">
        <v>35</v>
      </c>
      <c r="O38" s="779">
        <v>27</v>
      </c>
      <c r="P38" s="779">
        <v>35</v>
      </c>
      <c r="Q38" s="779">
        <v>25</v>
      </c>
      <c r="R38" s="779">
        <v>38</v>
      </c>
      <c r="S38" s="779"/>
      <c r="T38" s="779"/>
      <c r="U38" s="775"/>
      <c r="V38" s="809">
        <f t="shared" si="3"/>
        <v>392</v>
      </c>
      <c r="W38" s="810">
        <f t="shared" si="4"/>
        <v>73.9622641509434</v>
      </c>
    </row>
    <row r="39" spans="1:23" ht="16.5">
      <c r="A39" s="772" t="s">
        <v>658</v>
      </c>
      <c r="B39" s="821" t="s">
        <v>659</v>
      </c>
      <c r="C39" s="773" t="s">
        <v>660</v>
      </c>
      <c r="D39" s="782">
        <v>26</v>
      </c>
      <c r="E39" s="782">
        <v>32</v>
      </c>
      <c r="F39" s="727">
        <v>1</v>
      </c>
      <c r="G39" s="727">
        <v>2</v>
      </c>
      <c r="H39" s="727">
        <v>0</v>
      </c>
      <c r="I39" s="808">
        <v>0</v>
      </c>
      <c r="J39" s="775">
        <v>0</v>
      </c>
      <c r="K39" s="779">
        <v>0</v>
      </c>
      <c r="L39" s="779">
        <v>0</v>
      </c>
      <c r="M39" s="779">
        <v>0</v>
      </c>
      <c r="N39" s="779">
        <v>0</v>
      </c>
      <c r="O39" s="779">
        <v>0</v>
      </c>
      <c r="P39" s="779">
        <v>0</v>
      </c>
      <c r="Q39" s="779">
        <v>0</v>
      </c>
      <c r="R39" s="779">
        <v>0</v>
      </c>
      <c r="S39" s="779"/>
      <c r="T39" s="779"/>
      <c r="U39" s="775"/>
      <c r="V39" s="809">
        <f t="shared" si="3"/>
        <v>0</v>
      </c>
      <c r="W39" s="810" t="e">
        <f t="shared" si="4"/>
        <v>#DIV/0!</v>
      </c>
    </row>
    <row r="40" spans="1:23" ht="16.5">
      <c r="A40" s="772" t="s">
        <v>583</v>
      </c>
      <c r="B40" s="832"/>
      <c r="C40" s="773" t="s">
        <v>584</v>
      </c>
      <c r="D40" s="782">
        <v>6805</v>
      </c>
      <c r="E40" s="782">
        <v>6979</v>
      </c>
      <c r="F40" s="727">
        <v>8616</v>
      </c>
      <c r="G40" s="727">
        <v>8318</v>
      </c>
      <c r="H40" s="727">
        <v>8465</v>
      </c>
      <c r="I40" s="808">
        <v>8555</v>
      </c>
      <c r="J40" s="775">
        <v>586</v>
      </c>
      <c r="K40" s="779">
        <v>586</v>
      </c>
      <c r="L40" s="779">
        <v>586</v>
      </c>
      <c r="M40" s="779">
        <v>1346</v>
      </c>
      <c r="N40" s="779">
        <v>586</v>
      </c>
      <c r="O40" s="779">
        <v>591</v>
      </c>
      <c r="P40" s="779">
        <v>586</v>
      </c>
      <c r="Q40" s="779">
        <v>623</v>
      </c>
      <c r="R40" s="779">
        <v>1351</v>
      </c>
      <c r="S40" s="779"/>
      <c r="T40" s="779"/>
      <c r="U40" s="775"/>
      <c r="V40" s="809">
        <f>SUM(J40:U40)</f>
        <v>6841</v>
      </c>
      <c r="W40" s="810">
        <f t="shared" si="4"/>
        <v>79.96493278784337</v>
      </c>
    </row>
    <row r="41" spans="1:23" ht="17.25" thickBot="1">
      <c r="A41" s="750" t="s">
        <v>586</v>
      </c>
      <c r="B41" s="833"/>
      <c r="C41" s="834"/>
      <c r="D41" s="787">
        <v>25</v>
      </c>
      <c r="E41" s="787">
        <v>406</v>
      </c>
      <c r="F41" s="723">
        <v>306</v>
      </c>
      <c r="G41" s="723">
        <v>306</v>
      </c>
      <c r="H41" s="723">
        <v>554</v>
      </c>
      <c r="I41" s="820">
        <v>150</v>
      </c>
      <c r="J41" s="728">
        <v>66</v>
      </c>
      <c r="K41" s="722">
        <v>4</v>
      </c>
      <c r="L41" s="722">
        <v>12</v>
      </c>
      <c r="M41" s="722">
        <v>9</v>
      </c>
      <c r="N41" s="722">
        <v>5</v>
      </c>
      <c r="O41" s="722">
        <v>38</v>
      </c>
      <c r="P41" s="722">
        <v>6</v>
      </c>
      <c r="Q41" s="722">
        <v>2</v>
      </c>
      <c r="R41" s="722">
        <v>77</v>
      </c>
      <c r="S41" s="722"/>
      <c r="T41" s="722"/>
      <c r="U41" s="722"/>
      <c r="V41" s="809">
        <f>SUM(J41:U41)</f>
        <v>219</v>
      </c>
      <c r="W41" s="810">
        <f t="shared" si="4"/>
        <v>146</v>
      </c>
    </row>
    <row r="42" spans="1:23" ht="17.25" thickBot="1">
      <c r="A42" s="827" t="s">
        <v>661</v>
      </c>
      <c r="B42" s="835"/>
      <c r="C42" s="828" t="s">
        <v>662</v>
      </c>
      <c r="D42" s="532">
        <f aca="true" t="shared" si="5" ref="D42:T42">SUM(D37:D41)</f>
        <v>7572</v>
      </c>
      <c r="E42" s="532">
        <f t="shared" si="5"/>
        <v>8132</v>
      </c>
      <c r="F42" s="794">
        <f>SUM(F37:F41)</f>
        <v>9430</v>
      </c>
      <c r="G42" s="794">
        <f>SUM(G37:G41)</f>
        <v>9153</v>
      </c>
      <c r="H42" s="794">
        <f>SUM(H37:H41)</f>
        <v>9514</v>
      </c>
      <c r="I42" s="829">
        <f t="shared" si="5"/>
        <v>9235</v>
      </c>
      <c r="J42" s="793">
        <f t="shared" si="5"/>
        <v>723</v>
      </c>
      <c r="K42" s="796">
        <f t="shared" si="5"/>
        <v>646</v>
      </c>
      <c r="L42" s="797">
        <f t="shared" si="5"/>
        <v>652</v>
      </c>
      <c r="M42" s="797">
        <f t="shared" si="5"/>
        <v>1406</v>
      </c>
      <c r="N42" s="796">
        <f t="shared" si="5"/>
        <v>626</v>
      </c>
      <c r="O42" s="796">
        <f t="shared" si="5"/>
        <v>656</v>
      </c>
      <c r="P42" s="796">
        <f t="shared" si="5"/>
        <v>627</v>
      </c>
      <c r="Q42" s="796">
        <f t="shared" si="5"/>
        <v>650</v>
      </c>
      <c r="R42" s="796">
        <f t="shared" si="5"/>
        <v>1466</v>
      </c>
      <c r="S42" s="796">
        <f t="shared" si="5"/>
        <v>0</v>
      </c>
      <c r="T42" s="796">
        <f t="shared" si="5"/>
        <v>0</v>
      </c>
      <c r="U42" s="796">
        <f>SUM(U37:U41)</f>
        <v>0</v>
      </c>
      <c r="V42" s="830">
        <f t="shared" si="3"/>
        <v>7452</v>
      </c>
      <c r="W42" s="831">
        <f t="shared" si="4"/>
        <v>80.69301570113699</v>
      </c>
    </row>
    <row r="43" spans="1:23" ht="6.75" customHeight="1" thickBot="1">
      <c r="A43" s="750"/>
      <c r="B43" s="790"/>
      <c r="C43" s="834"/>
      <c r="D43" s="787"/>
      <c r="E43" s="787"/>
      <c r="F43" s="729"/>
      <c r="G43" s="729"/>
      <c r="H43" s="729"/>
      <c r="I43" s="836"/>
      <c r="J43" s="788"/>
      <c r="K43" s="722"/>
      <c r="L43" s="756"/>
      <c r="M43" s="756"/>
      <c r="N43" s="722"/>
      <c r="O43" s="722"/>
      <c r="P43" s="722"/>
      <c r="Q43" s="722"/>
      <c r="R43" s="722"/>
      <c r="S43" s="722"/>
      <c r="T43" s="722"/>
      <c r="U43" s="837"/>
      <c r="V43" s="825"/>
      <c r="W43" s="826"/>
    </row>
    <row r="44" spans="1:23" ht="17.25" thickBot="1">
      <c r="A44" s="838" t="s">
        <v>590</v>
      </c>
      <c r="B44" s="839"/>
      <c r="C44" s="840"/>
      <c r="D44" s="532">
        <f>+D42-D40</f>
        <v>767</v>
      </c>
      <c r="E44" s="532">
        <f>+E42-E40</f>
        <v>1153</v>
      </c>
      <c r="F44" s="794">
        <v>814</v>
      </c>
      <c r="G44" s="794">
        <f>G41+G39+G38</f>
        <v>835</v>
      </c>
      <c r="H44" s="794">
        <v>1049</v>
      </c>
      <c r="I44" s="829">
        <f aca="true" t="shared" si="6" ref="I44:U44">I37+I38+I39+I41</f>
        <v>680</v>
      </c>
      <c r="J44" s="793">
        <f t="shared" si="6"/>
        <v>137</v>
      </c>
      <c r="K44" s="796">
        <f t="shared" si="6"/>
        <v>60</v>
      </c>
      <c r="L44" s="796">
        <f t="shared" si="6"/>
        <v>66</v>
      </c>
      <c r="M44" s="796">
        <f t="shared" si="6"/>
        <v>60</v>
      </c>
      <c r="N44" s="796">
        <f t="shared" si="6"/>
        <v>40</v>
      </c>
      <c r="O44" s="796">
        <f t="shared" si="6"/>
        <v>65</v>
      </c>
      <c r="P44" s="796">
        <f t="shared" si="6"/>
        <v>41</v>
      </c>
      <c r="Q44" s="796">
        <f t="shared" si="6"/>
        <v>27</v>
      </c>
      <c r="R44" s="796">
        <f t="shared" si="6"/>
        <v>115</v>
      </c>
      <c r="S44" s="796">
        <f t="shared" si="6"/>
        <v>0</v>
      </c>
      <c r="T44" s="796">
        <f t="shared" si="6"/>
        <v>0</v>
      </c>
      <c r="U44" s="829">
        <f t="shared" si="6"/>
        <v>0</v>
      </c>
      <c r="V44" s="830">
        <f>SUM(J44:U44)</f>
        <v>611</v>
      </c>
      <c r="W44" s="831">
        <f>+V44/I44*100</f>
        <v>89.8529411764706</v>
      </c>
    </row>
    <row r="45" spans="1:23" ht="17.25" thickBot="1">
      <c r="A45" s="827" t="s">
        <v>591</v>
      </c>
      <c r="B45" s="839"/>
      <c r="C45" s="828" t="s">
        <v>663</v>
      </c>
      <c r="D45" s="532">
        <f>+D42-D36</f>
        <v>64</v>
      </c>
      <c r="E45" s="532">
        <f>+E42-E36</f>
        <v>290</v>
      </c>
      <c r="F45" s="794">
        <v>25</v>
      </c>
      <c r="G45" s="794">
        <f>G42-G36</f>
        <v>29</v>
      </c>
      <c r="H45" s="794">
        <v>25</v>
      </c>
      <c r="I45" s="829">
        <v>0</v>
      </c>
      <c r="J45" s="793">
        <f aca="true" t="shared" si="7" ref="J45:U45">J42-J36</f>
        <v>114</v>
      </c>
      <c r="K45" s="796">
        <f t="shared" si="7"/>
        <v>71</v>
      </c>
      <c r="L45" s="796">
        <f t="shared" si="7"/>
        <v>-200</v>
      </c>
      <c r="M45" s="796">
        <f t="shared" si="7"/>
        <v>765</v>
      </c>
      <c r="N45" s="796">
        <f t="shared" si="7"/>
        <v>-22</v>
      </c>
      <c r="O45" s="796">
        <f t="shared" si="7"/>
        <v>-325</v>
      </c>
      <c r="P45" s="796">
        <f>P42-P36</f>
        <v>-36</v>
      </c>
      <c r="Q45" s="796">
        <f t="shared" si="7"/>
        <v>4</v>
      </c>
      <c r="R45" s="796">
        <f t="shared" si="7"/>
        <v>620</v>
      </c>
      <c r="S45" s="796">
        <f t="shared" si="7"/>
        <v>0</v>
      </c>
      <c r="T45" s="796">
        <f t="shared" si="7"/>
        <v>0</v>
      </c>
      <c r="U45" s="797">
        <f t="shared" si="7"/>
        <v>0</v>
      </c>
      <c r="V45" s="830">
        <f>SUM(J45:U45)</f>
        <v>991</v>
      </c>
      <c r="W45" s="831" t="e">
        <f>+V45/I45*100</f>
        <v>#DIV/0!</v>
      </c>
    </row>
    <row r="46" spans="1:23" ht="17.25" thickBot="1">
      <c r="A46" s="838" t="s">
        <v>664</v>
      </c>
      <c r="B46" s="839"/>
      <c r="C46" s="841"/>
      <c r="D46" s="534">
        <f>+D45-D40</f>
        <v>-6741</v>
      </c>
      <c r="E46" s="534">
        <f>+E45-E40</f>
        <v>-6689</v>
      </c>
      <c r="F46" s="794">
        <f>F44-F36</f>
        <v>-8591</v>
      </c>
      <c r="G46" s="794">
        <f>G44-G36</f>
        <v>-8289</v>
      </c>
      <c r="H46" s="794">
        <v>-8440</v>
      </c>
      <c r="I46" s="829">
        <f aca="true" t="shared" si="8" ref="I46:U46">I45-I40</f>
        <v>-8555</v>
      </c>
      <c r="J46" s="842">
        <f t="shared" si="8"/>
        <v>-472</v>
      </c>
      <c r="K46" s="796">
        <f t="shared" si="8"/>
        <v>-515</v>
      </c>
      <c r="L46" s="796">
        <f t="shared" si="8"/>
        <v>-786</v>
      </c>
      <c r="M46" s="796">
        <f t="shared" si="8"/>
        <v>-581</v>
      </c>
      <c r="N46" s="796">
        <f t="shared" si="8"/>
        <v>-608</v>
      </c>
      <c r="O46" s="796">
        <f t="shared" si="8"/>
        <v>-916</v>
      </c>
      <c r="P46" s="796">
        <f t="shared" si="8"/>
        <v>-622</v>
      </c>
      <c r="Q46" s="796">
        <f t="shared" si="8"/>
        <v>-619</v>
      </c>
      <c r="R46" s="796">
        <f t="shared" si="8"/>
        <v>-731</v>
      </c>
      <c r="S46" s="796">
        <f t="shared" si="8"/>
        <v>0</v>
      </c>
      <c r="T46" s="796">
        <f t="shared" si="8"/>
        <v>0</v>
      </c>
      <c r="U46" s="829">
        <f t="shared" si="8"/>
        <v>0</v>
      </c>
      <c r="V46" s="830">
        <f>SUM(J46:U46)</f>
        <v>-5850</v>
      </c>
      <c r="W46" s="831">
        <f>+V46/I46*100</f>
        <v>68.38106370543542</v>
      </c>
    </row>
  </sheetData>
  <sheetProtection/>
  <mergeCells count="1">
    <mergeCell ref="C5:G5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7.7109375" style="108" customWidth="1"/>
    <col min="2" max="2" width="15.8515625" style="108" customWidth="1"/>
    <col min="3" max="4" width="0" style="108" hidden="1" customWidth="1"/>
    <col min="5" max="5" width="9.140625" style="576" customWidth="1"/>
    <col min="6" max="8" width="0" style="108" hidden="1" customWidth="1"/>
    <col min="9" max="10" width="0" style="496" hidden="1" customWidth="1"/>
    <col min="11" max="12" width="9.140625" style="496" customWidth="1"/>
    <col min="13" max="13" width="9.8515625" style="496" customWidth="1"/>
    <col min="14" max="14" width="11.28125" style="496" customWidth="1"/>
    <col min="15" max="15" width="9.28125" style="496" customWidth="1"/>
    <col min="16" max="16" width="9.140625" style="496" customWidth="1"/>
    <col min="17" max="17" width="12.00390625" style="108" customWidth="1"/>
    <col min="18" max="18" width="9.140625" style="108" customWidth="1"/>
    <col min="19" max="19" width="3.421875" style="108" customWidth="1"/>
    <col min="20" max="20" width="12.57421875" style="108" customWidth="1"/>
    <col min="21" max="21" width="11.8515625" style="108" customWidth="1"/>
    <col min="22" max="22" width="12.00390625" style="108" customWidth="1"/>
    <col min="23" max="16384" width="9.140625" style="108" customWidth="1"/>
  </cols>
  <sheetData>
    <row r="1" spans="1:22" ht="18">
      <c r="A1" s="1050" t="s">
        <v>665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453"/>
      <c r="L3" s="897"/>
      <c r="M3" s="897"/>
    </row>
    <row r="4" spans="2:13" ht="13.5" thickBot="1"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898" t="s">
        <v>492</v>
      </c>
      <c r="B5" s="899" t="s">
        <v>666</v>
      </c>
      <c r="C5" s="579"/>
      <c r="D5" s="579"/>
      <c r="E5" s="580"/>
      <c r="F5" s="579"/>
      <c r="G5" s="581"/>
      <c r="H5" s="581"/>
      <c r="I5" s="900"/>
      <c r="J5" s="855"/>
      <c r="K5" s="855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903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6" t="s">
        <v>667</v>
      </c>
      <c r="I7" s="906" t="s">
        <v>668</v>
      </c>
      <c r="J7" s="906" t="s">
        <v>669</v>
      </c>
      <c r="K7" s="907" t="s">
        <v>670</v>
      </c>
      <c r="L7" s="907"/>
      <c r="M7" s="908" t="s">
        <v>495</v>
      </c>
      <c r="N7" s="908"/>
      <c r="O7" s="908"/>
      <c r="P7" s="908"/>
      <c r="Q7" s="586" t="s">
        <v>671</v>
      </c>
      <c r="R7" s="590" t="s">
        <v>497</v>
      </c>
      <c r="T7" s="909" t="s">
        <v>672</v>
      </c>
      <c r="U7" s="909"/>
      <c r="V7" s="909"/>
    </row>
    <row r="8" spans="1:22" ht="13.5" thickBot="1">
      <c r="A8" s="903"/>
      <c r="B8" s="903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6"/>
      <c r="I8" s="906"/>
      <c r="J8" s="906"/>
      <c r="K8" s="911" t="s">
        <v>31</v>
      </c>
      <c r="L8" s="912" t="s">
        <v>675</v>
      </c>
      <c r="M8" s="913" t="s">
        <v>508</v>
      </c>
      <c r="N8" s="914" t="s">
        <v>511</v>
      </c>
      <c r="O8" s="914" t="s">
        <v>514</v>
      </c>
      <c r="P8" s="915" t="s">
        <v>517</v>
      </c>
      <c r="Q8" s="594" t="s">
        <v>518</v>
      </c>
      <c r="R8" s="916" t="s">
        <v>519</v>
      </c>
      <c r="T8" s="917" t="s">
        <v>676</v>
      </c>
      <c r="U8" s="910" t="s">
        <v>677</v>
      </c>
      <c r="V8" s="910" t="s">
        <v>678</v>
      </c>
    </row>
    <row r="9" spans="1:22" ht="12.75">
      <c r="A9" s="918" t="s">
        <v>520</v>
      </c>
      <c r="B9" s="599"/>
      <c r="C9" s="600">
        <v>104</v>
      </c>
      <c r="D9" s="600">
        <v>104</v>
      </c>
      <c r="E9" s="546"/>
      <c r="F9" s="919">
        <v>7</v>
      </c>
      <c r="G9" s="920">
        <v>6</v>
      </c>
      <c r="H9" s="856">
        <v>7</v>
      </c>
      <c r="I9" s="857">
        <v>7</v>
      </c>
      <c r="J9" s="858">
        <v>6</v>
      </c>
      <c r="K9" s="921"/>
      <c r="L9" s="921"/>
      <c r="M9" s="922">
        <v>6</v>
      </c>
      <c r="N9" s="923">
        <f aca="true" t="shared" si="0" ref="N9:P15">T9</f>
        <v>6</v>
      </c>
      <c r="O9" s="924">
        <f t="shared" si="0"/>
        <v>5</v>
      </c>
      <c r="P9" s="923">
        <f t="shared" si="0"/>
        <v>0</v>
      </c>
      <c r="Q9" s="925" t="s">
        <v>521</v>
      </c>
      <c r="R9" s="926" t="s">
        <v>521</v>
      </c>
      <c r="S9" s="896"/>
      <c r="T9" s="927">
        <v>6</v>
      </c>
      <c r="U9" s="928">
        <v>5</v>
      </c>
      <c r="V9" s="929"/>
    </row>
    <row r="10" spans="1:22" ht="13.5" thickBot="1">
      <c r="A10" s="930" t="s">
        <v>522</v>
      </c>
      <c r="B10" s="606"/>
      <c r="C10" s="607">
        <v>101</v>
      </c>
      <c r="D10" s="607">
        <v>104</v>
      </c>
      <c r="E10" s="608"/>
      <c r="F10" s="931">
        <v>7</v>
      </c>
      <c r="G10" s="931">
        <v>6</v>
      </c>
      <c r="H10" s="859">
        <v>6</v>
      </c>
      <c r="I10" s="860">
        <v>6</v>
      </c>
      <c r="J10" s="861">
        <v>6</v>
      </c>
      <c r="K10" s="932"/>
      <c r="L10" s="932"/>
      <c r="M10" s="933">
        <v>5</v>
      </c>
      <c r="N10" s="934">
        <f t="shared" si="0"/>
        <v>5</v>
      </c>
      <c r="O10" s="935">
        <f t="shared" si="0"/>
        <v>5</v>
      </c>
      <c r="P10" s="934">
        <f t="shared" si="0"/>
        <v>0</v>
      </c>
      <c r="Q10" s="610" t="s">
        <v>521</v>
      </c>
      <c r="R10" s="936" t="s">
        <v>521</v>
      </c>
      <c r="S10" s="896"/>
      <c r="T10" s="937">
        <v>5</v>
      </c>
      <c r="U10" s="938">
        <v>5</v>
      </c>
      <c r="V10" s="936"/>
    </row>
    <row r="11" spans="1:22" ht="12.75">
      <c r="A11" s="939" t="s">
        <v>523</v>
      </c>
      <c r="B11" s="862" t="s">
        <v>524</v>
      </c>
      <c r="C11" s="617">
        <v>37915</v>
      </c>
      <c r="D11" s="617">
        <v>39774</v>
      </c>
      <c r="E11" s="618" t="s">
        <v>525</v>
      </c>
      <c r="F11" s="940">
        <v>1225</v>
      </c>
      <c r="G11" s="941">
        <v>1285</v>
      </c>
      <c r="H11" s="863">
        <v>1305</v>
      </c>
      <c r="I11" s="864">
        <v>1340</v>
      </c>
      <c r="J11" s="865">
        <v>1267</v>
      </c>
      <c r="K11" s="921" t="s">
        <v>521</v>
      </c>
      <c r="L11" s="921" t="s">
        <v>521</v>
      </c>
      <c r="M11" s="942">
        <v>1267</v>
      </c>
      <c r="N11" s="943">
        <f t="shared" si="0"/>
        <v>1267</v>
      </c>
      <c r="O11" s="944">
        <f t="shared" si="0"/>
        <v>1283</v>
      </c>
      <c r="P11" s="943"/>
      <c r="Q11" s="945" t="s">
        <v>521</v>
      </c>
      <c r="R11" s="946" t="s">
        <v>521</v>
      </c>
      <c r="S11" s="896"/>
      <c r="T11" s="927">
        <v>1267</v>
      </c>
      <c r="U11" s="947">
        <v>1283</v>
      </c>
      <c r="V11" s="948"/>
    </row>
    <row r="12" spans="1:22" ht="12.75">
      <c r="A12" s="949" t="s">
        <v>526</v>
      </c>
      <c r="B12" s="866" t="s">
        <v>527</v>
      </c>
      <c r="C12" s="630">
        <v>-16164</v>
      </c>
      <c r="D12" s="630">
        <v>-17825</v>
      </c>
      <c r="E12" s="618" t="s">
        <v>528</v>
      </c>
      <c r="F12" s="940">
        <v>-1225</v>
      </c>
      <c r="G12" s="941">
        <v>-1285</v>
      </c>
      <c r="H12" s="863">
        <v>1305</v>
      </c>
      <c r="I12" s="864">
        <v>1340</v>
      </c>
      <c r="J12" s="867">
        <v>1267</v>
      </c>
      <c r="K12" s="950" t="s">
        <v>521</v>
      </c>
      <c r="L12" s="950" t="s">
        <v>521</v>
      </c>
      <c r="M12" s="864">
        <v>1267</v>
      </c>
      <c r="N12" s="943">
        <f t="shared" si="0"/>
        <v>1267</v>
      </c>
      <c r="O12" s="951">
        <f t="shared" si="0"/>
        <v>1283</v>
      </c>
      <c r="P12" s="943"/>
      <c r="Q12" s="952" t="s">
        <v>521</v>
      </c>
      <c r="R12" s="952" t="s">
        <v>521</v>
      </c>
      <c r="S12" s="896"/>
      <c r="T12" s="953">
        <v>1267</v>
      </c>
      <c r="U12" s="947">
        <v>1283</v>
      </c>
      <c r="V12" s="948"/>
    </row>
    <row r="13" spans="1:22" ht="12.75">
      <c r="A13" s="949" t="s">
        <v>529</v>
      </c>
      <c r="B13" s="866" t="s">
        <v>679</v>
      </c>
      <c r="C13" s="630">
        <v>604</v>
      </c>
      <c r="D13" s="630">
        <v>619</v>
      </c>
      <c r="E13" s="618" t="s">
        <v>531</v>
      </c>
      <c r="F13" s="940"/>
      <c r="G13" s="941"/>
      <c r="H13" s="863"/>
      <c r="I13" s="864"/>
      <c r="J13" s="867">
        <v>0</v>
      </c>
      <c r="K13" s="950" t="s">
        <v>521</v>
      </c>
      <c r="L13" s="950" t="s">
        <v>521</v>
      </c>
      <c r="M13" s="864"/>
      <c r="N13" s="943">
        <f t="shared" si="0"/>
        <v>0</v>
      </c>
      <c r="O13" s="951">
        <f t="shared" si="0"/>
        <v>0</v>
      </c>
      <c r="P13" s="943"/>
      <c r="Q13" s="952" t="s">
        <v>521</v>
      </c>
      <c r="R13" s="952" t="s">
        <v>521</v>
      </c>
      <c r="S13" s="896"/>
      <c r="T13" s="953"/>
      <c r="U13" s="947"/>
      <c r="V13" s="948"/>
    </row>
    <row r="14" spans="1:22" ht="12.75">
      <c r="A14" s="949" t="s">
        <v>532</v>
      </c>
      <c r="B14" s="866" t="s">
        <v>680</v>
      </c>
      <c r="C14" s="630">
        <v>221</v>
      </c>
      <c r="D14" s="630">
        <v>610</v>
      </c>
      <c r="E14" s="618" t="s">
        <v>521</v>
      </c>
      <c r="F14" s="940">
        <v>117</v>
      </c>
      <c r="G14" s="941">
        <v>115</v>
      </c>
      <c r="H14" s="863"/>
      <c r="I14" s="864">
        <v>145</v>
      </c>
      <c r="J14" s="867">
        <v>149</v>
      </c>
      <c r="K14" s="950" t="s">
        <v>521</v>
      </c>
      <c r="L14" s="950" t="s">
        <v>521</v>
      </c>
      <c r="M14" s="864">
        <v>561</v>
      </c>
      <c r="N14" s="943">
        <f t="shared" si="0"/>
        <v>406</v>
      </c>
      <c r="O14" s="951">
        <f t="shared" si="0"/>
        <v>256</v>
      </c>
      <c r="P14" s="943"/>
      <c r="Q14" s="952" t="s">
        <v>521</v>
      </c>
      <c r="R14" s="952" t="s">
        <v>521</v>
      </c>
      <c r="S14" s="896"/>
      <c r="T14" s="953">
        <v>406</v>
      </c>
      <c r="U14" s="947">
        <v>256</v>
      </c>
      <c r="V14" s="948"/>
    </row>
    <row r="15" spans="1:22" ht="13.5" thickBot="1">
      <c r="A15" s="918" t="s">
        <v>534</v>
      </c>
      <c r="B15" s="868" t="s">
        <v>681</v>
      </c>
      <c r="C15" s="635">
        <v>2021</v>
      </c>
      <c r="D15" s="635">
        <v>852</v>
      </c>
      <c r="E15" s="550" t="s">
        <v>536</v>
      </c>
      <c r="F15" s="920">
        <v>260</v>
      </c>
      <c r="G15" s="920">
        <v>334</v>
      </c>
      <c r="H15" s="869">
        <v>316</v>
      </c>
      <c r="I15" s="870">
        <v>504</v>
      </c>
      <c r="J15" s="858">
        <v>482</v>
      </c>
      <c r="K15" s="954" t="s">
        <v>521</v>
      </c>
      <c r="L15" s="954" t="s">
        <v>521</v>
      </c>
      <c r="M15" s="870">
        <v>735</v>
      </c>
      <c r="N15" s="943">
        <f t="shared" si="0"/>
        <v>937</v>
      </c>
      <c r="O15" s="955">
        <f t="shared" si="0"/>
        <v>829</v>
      </c>
      <c r="P15" s="956"/>
      <c r="Q15" s="957" t="s">
        <v>521</v>
      </c>
      <c r="R15" s="933" t="s">
        <v>521</v>
      </c>
      <c r="S15" s="896"/>
      <c r="T15" s="958">
        <v>937</v>
      </c>
      <c r="U15" s="959">
        <v>829</v>
      </c>
      <c r="V15" s="960"/>
    </row>
    <row r="16" spans="1:22" ht="15" thickBot="1">
      <c r="A16" s="961" t="s">
        <v>537</v>
      </c>
      <c r="B16" s="871"/>
      <c r="C16" s="642">
        <v>24618</v>
      </c>
      <c r="D16" s="642">
        <v>24087</v>
      </c>
      <c r="E16" s="643"/>
      <c r="F16" s="962">
        <v>383</v>
      </c>
      <c r="G16" s="962">
        <v>457</v>
      </c>
      <c r="H16" s="963">
        <v>469</v>
      </c>
      <c r="I16" s="964">
        <v>649</v>
      </c>
      <c r="J16" s="965">
        <v>631</v>
      </c>
      <c r="K16" s="966" t="s">
        <v>521</v>
      </c>
      <c r="L16" s="966" t="s">
        <v>521</v>
      </c>
      <c r="M16" s="967">
        <f>M11-M12+M13+M14+M15</f>
        <v>1296</v>
      </c>
      <c r="N16" s="922">
        <f>N11-N12+N13+N14+N15</f>
        <v>1343</v>
      </c>
      <c r="O16" s="968">
        <f>O11-O12+O13+O14+O15</f>
        <v>1085</v>
      </c>
      <c r="P16" s="967">
        <f>P11-P12+P13+P14+P15</f>
        <v>0</v>
      </c>
      <c r="Q16" s="969" t="s">
        <v>521</v>
      </c>
      <c r="R16" s="969" t="s">
        <v>521</v>
      </c>
      <c r="S16" s="896"/>
      <c r="T16" s="970">
        <f>T11-T12+T13+T14+T15</f>
        <v>1343</v>
      </c>
      <c r="U16" s="970">
        <f>U11-U12+U13+U14+U15</f>
        <v>1085</v>
      </c>
      <c r="V16" s="971">
        <f>V11-V12+V13+V14+V15</f>
        <v>0</v>
      </c>
    </row>
    <row r="17" spans="1:22" ht="12.75">
      <c r="A17" s="918" t="s">
        <v>538</v>
      </c>
      <c r="B17" s="862" t="s">
        <v>539</v>
      </c>
      <c r="C17" s="617">
        <v>7043</v>
      </c>
      <c r="D17" s="617">
        <v>7240</v>
      </c>
      <c r="E17" s="550">
        <v>401</v>
      </c>
      <c r="F17" s="920"/>
      <c r="G17" s="920"/>
      <c r="H17" s="869"/>
      <c r="I17" s="870"/>
      <c r="J17" s="858">
        <v>0</v>
      </c>
      <c r="K17" s="921" t="s">
        <v>521</v>
      </c>
      <c r="L17" s="921" t="s">
        <v>521</v>
      </c>
      <c r="M17" s="972">
        <v>0</v>
      </c>
      <c r="N17" s="944">
        <f aca="true" t="shared" si="1" ref="N17:O21">T17</f>
        <v>0</v>
      </c>
      <c r="O17" s="973">
        <f t="shared" si="1"/>
        <v>0</v>
      </c>
      <c r="P17" s="974"/>
      <c r="Q17" s="926" t="s">
        <v>521</v>
      </c>
      <c r="R17" s="946" t="s">
        <v>521</v>
      </c>
      <c r="S17" s="896"/>
      <c r="T17" s="975"/>
      <c r="U17" s="959"/>
      <c r="V17" s="960"/>
    </row>
    <row r="18" spans="1:22" ht="12.75">
      <c r="A18" s="949" t="s">
        <v>540</v>
      </c>
      <c r="B18" s="866" t="s">
        <v>541</v>
      </c>
      <c r="C18" s="630">
        <v>1001</v>
      </c>
      <c r="D18" s="630">
        <v>820</v>
      </c>
      <c r="E18" s="618" t="s">
        <v>542</v>
      </c>
      <c r="F18" s="940">
        <v>66</v>
      </c>
      <c r="G18" s="940">
        <v>92</v>
      </c>
      <c r="H18" s="863">
        <v>50</v>
      </c>
      <c r="I18" s="864">
        <v>99</v>
      </c>
      <c r="J18" s="867">
        <v>113</v>
      </c>
      <c r="K18" s="950" t="s">
        <v>521</v>
      </c>
      <c r="L18" s="950" t="s">
        <v>521</v>
      </c>
      <c r="M18" s="867">
        <v>114</v>
      </c>
      <c r="N18" s="951">
        <f t="shared" si="1"/>
        <v>335</v>
      </c>
      <c r="O18" s="973">
        <f t="shared" si="1"/>
        <v>337</v>
      </c>
      <c r="P18" s="951"/>
      <c r="Q18" s="948" t="s">
        <v>521</v>
      </c>
      <c r="R18" s="952" t="s">
        <v>521</v>
      </c>
      <c r="S18" s="896"/>
      <c r="T18" s="953">
        <v>335</v>
      </c>
      <c r="U18" s="947">
        <v>337</v>
      </c>
      <c r="V18" s="948"/>
    </row>
    <row r="19" spans="1:22" ht="12.75">
      <c r="A19" s="949" t="s">
        <v>543</v>
      </c>
      <c r="B19" s="866" t="s">
        <v>682</v>
      </c>
      <c r="C19" s="630">
        <v>14718</v>
      </c>
      <c r="D19" s="630">
        <v>14718</v>
      </c>
      <c r="E19" s="618" t="s">
        <v>521</v>
      </c>
      <c r="F19" s="940"/>
      <c r="G19" s="941"/>
      <c r="H19" s="863"/>
      <c r="I19" s="864"/>
      <c r="J19" s="867">
        <v>0</v>
      </c>
      <c r="K19" s="950" t="s">
        <v>521</v>
      </c>
      <c r="L19" s="950" t="s">
        <v>521</v>
      </c>
      <c r="M19" s="867"/>
      <c r="N19" s="951">
        <f t="shared" si="1"/>
        <v>0</v>
      </c>
      <c r="O19" s="973">
        <f t="shared" si="1"/>
        <v>0</v>
      </c>
      <c r="P19" s="951"/>
      <c r="Q19" s="948" t="s">
        <v>521</v>
      </c>
      <c r="R19" s="952" t="s">
        <v>521</v>
      </c>
      <c r="S19" s="896"/>
      <c r="T19" s="953"/>
      <c r="U19" s="947"/>
      <c r="V19" s="948"/>
    </row>
    <row r="20" spans="1:22" ht="12.75">
      <c r="A20" s="949" t="s">
        <v>545</v>
      </c>
      <c r="B20" s="866" t="s">
        <v>544</v>
      </c>
      <c r="C20" s="630">
        <v>1758</v>
      </c>
      <c r="D20" s="630">
        <v>1762</v>
      </c>
      <c r="E20" s="618" t="s">
        <v>521</v>
      </c>
      <c r="F20" s="940">
        <v>173</v>
      </c>
      <c r="G20" s="941">
        <v>209</v>
      </c>
      <c r="H20" s="863">
        <v>337</v>
      </c>
      <c r="I20" s="864">
        <v>299</v>
      </c>
      <c r="J20" s="867">
        <v>298</v>
      </c>
      <c r="K20" s="950" t="s">
        <v>521</v>
      </c>
      <c r="L20" s="950" t="s">
        <v>521</v>
      </c>
      <c r="M20" s="867">
        <v>800</v>
      </c>
      <c r="N20" s="951">
        <f t="shared" si="1"/>
        <v>805</v>
      </c>
      <c r="O20" s="973">
        <f t="shared" si="1"/>
        <v>550</v>
      </c>
      <c r="P20" s="951"/>
      <c r="Q20" s="948" t="s">
        <v>521</v>
      </c>
      <c r="R20" s="952" t="s">
        <v>521</v>
      </c>
      <c r="S20" s="896"/>
      <c r="T20" s="953">
        <v>805</v>
      </c>
      <c r="U20" s="947">
        <v>550</v>
      </c>
      <c r="V20" s="948"/>
    </row>
    <row r="21" spans="1:22" ht="13.5" thickBot="1">
      <c r="A21" s="930" t="s">
        <v>547</v>
      </c>
      <c r="B21" s="872"/>
      <c r="C21" s="654">
        <v>0</v>
      </c>
      <c r="D21" s="654">
        <v>0</v>
      </c>
      <c r="E21" s="655" t="s">
        <v>521</v>
      </c>
      <c r="F21" s="940"/>
      <c r="G21" s="920"/>
      <c r="H21" s="863"/>
      <c r="I21" s="860"/>
      <c r="J21" s="873">
        <v>0</v>
      </c>
      <c r="K21" s="954" t="s">
        <v>521</v>
      </c>
      <c r="L21" s="954" t="s">
        <v>521</v>
      </c>
      <c r="M21" s="932"/>
      <c r="N21" s="955">
        <f t="shared" si="1"/>
        <v>0</v>
      </c>
      <c r="O21" s="976">
        <f t="shared" si="1"/>
        <v>0</v>
      </c>
      <c r="P21" s="955"/>
      <c r="Q21" s="936" t="s">
        <v>521</v>
      </c>
      <c r="R21" s="933" t="s">
        <v>521</v>
      </c>
      <c r="S21" s="896"/>
      <c r="T21" s="937"/>
      <c r="U21" s="977"/>
      <c r="V21" s="977"/>
    </row>
    <row r="22" spans="1:22" ht="15">
      <c r="A22" s="978" t="s">
        <v>549</v>
      </c>
      <c r="B22" s="862"/>
      <c r="C22" s="617">
        <v>12472</v>
      </c>
      <c r="D22" s="617">
        <v>13728</v>
      </c>
      <c r="E22" s="554" t="s">
        <v>521</v>
      </c>
      <c r="F22" s="979">
        <v>2336</v>
      </c>
      <c r="G22" s="979">
        <v>2388</v>
      </c>
      <c r="H22" s="874">
        <v>2517</v>
      </c>
      <c r="I22" s="875">
        <v>2378</v>
      </c>
      <c r="J22" s="876">
        <v>2563</v>
      </c>
      <c r="K22" s="980">
        <f>K35</f>
        <v>2303</v>
      </c>
      <c r="L22" s="980">
        <f>L35</f>
        <v>2303</v>
      </c>
      <c r="M22" s="981">
        <v>617</v>
      </c>
      <c r="N22" s="982">
        <f>T22-M22</f>
        <v>536</v>
      </c>
      <c r="O22" s="983">
        <f>U22-T22</f>
        <v>549</v>
      </c>
      <c r="P22" s="984"/>
      <c r="Q22" s="985">
        <f>SUM(M22:P22)</f>
        <v>1702</v>
      </c>
      <c r="R22" s="986">
        <f>(Q22/L22)*100</f>
        <v>73.9036039947894</v>
      </c>
      <c r="S22" s="896"/>
      <c r="T22" s="927">
        <v>1153</v>
      </c>
      <c r="U22" s="987">
        <v>1702</v>
      </c>
      <c r="V22" s="988"/>
    </row>
    <row r="23" spans="1:22" ht="15">
      <c r="A23" s="949" t="s">
        <v>551</v>
      </c>
      <c r="B23" s="866" t="s">
        <v>552</v>
      </c>
      <c r="C23" s="630">
        <v>0</v>
      </c>
      <c r="D23" s="630">
        <v>0</v>
      </c>
      <c r="E23" s="556" t="s">
        <v>521</v>
      </c>
      <c r="F23" s="940"/>
      <c r="G23" s="940"/>
      <c r="H23" s="863"/>
      <c r="I23" s="877"/>
      <c r="J23" s="878">
        <v>0</v>
      </c>
      <c r="K23" s="989"/>
      <c r="L23" s="990"/>
      <c r="M23" s="991"/>
      <c r="N23" s="982">
        <f>T23-M23</f>
        <v>0</v>
      </c>
      <c r="O23" s="992">
        <f aca="true" t="shared" si="2" ref="O23:O34">U23-T23</f>
        <v>0</v>
      </c>
      <c r="P23" s="993"/>
      <c r="Q23" s="994">
        <f aca="true" t="shared" si="3" ref="Q23:Q45">SUM(M23:P23)</f>
        <v>0</v>
      </c>
      <c r="R23" s="995" t="e">
        <f aca="true" t="shared" si="4" ref="R23:R45">(Q23/L23)*100</f>
        <v>#DIV/0!</v>
      </c>
      <c r="S23" s="896"/>
      <c r="T23" s="953"/>
      <c r="U23" s="996"/>
      <c r="V23" s="997"/>
    </row>
    <row r="24" spans="1:22" ht="15.75" thickBot="1">
      <c r="A24" s="930" t="s">
        <v>553</v>
      </c>
      <c r="B24" s="872" t="s">
        <v>552</v>
      </c>
      <c r="C24" s="654">
        <v>0</v>
      </c>
      <c r="D24" s="654">
        <v>1215</v>
      </c>
      <c r="E24" s="558">
        <v>672</v>
      </c>
      <c r="F24" s="998">
        <v>660</v>
      </c>
      <c r="G24" s="998">
        <v>670</v>
      </c>
      <c r="H24" s="879">
        <v>700</v>
      </c>
      <c r="I24" s="880">
        <v>650</v>
      </c>
      <c r="J24" s="881">
        <v>760</v>
      </c>
      <c r="K24" s="999">
        <f>SUM(K25:K29)</f>
        <v>700</v>
      </c>
      <c r="L24" s="999">
        <f>SUM(L25:L29)</f>
        <v>700</v>
      </c>
      <c r="M24" s="1000">
        <v>174</v>
      </c>
      <c r="N24" s="923">
        <f>T24-M24</f>
        <v>174</v>
      </c>
      <c r="O24" s="1001">
        <f t="shared" si="2"/>
        <v>174</v>
      </c>
      <c r="P24" s="1002"/>
      <c r="Q24" s="1003">
        <f t="shared" si="3"/>
        <v>522</v>
      </c>
      <c r="R24" s="1004">
        <f t="shared" si="4"/>
        <v>74.57142857142857</v>
      </c>
      <c r="S24" s="896"/>
      <c r="T24" s="958">
        <v>348</v>
      </c>
      <c r="U24" s="1005">
        <v>522</v>
      </c>
      <c r="V24" s="1006"/>
    </row>
    <row r="25" spans="1:22" ht="15">
      <c r="A25" s="939" t="s">
        <v>554</v>
      </c>
      <c r="B25" s="862" t="s">
        <v>683</v>
      </c>
      <c r="C25" s="617">
        <v>6341</v>
      </c>
      <c r="D25" s="617">
        <v>6960</v>
      </c>
      <c r="E25" s="554">
        <v>501</v>
      </c>
      <c r="F25" s="940">
        <v>401</v>
      </c>
      <c r="G25" s="941">
        <v>315</v>
      </c>
      <c r="H25" s="863">
        <v>161</v>
      </c>
      <c r="I25" s="882">
        <v>206</v>
      </c>
      <c r="J25" s="883">
        <v>158</v>
      </c>
      <c r="K25" s="1007">
        <v>200</v>
      </c>
      <c r="L25" s="1008">
        <v>200</v>
      </c>
      <c r="M25" s="1007">
        <v>13</v>
      </c>
      <c r="N25" s="1009">
        <f>T25-M25</f>
        <v>43</v>
      </c>
      <c r="O25" s="1010">
        <f t="shared" si="2"/>
        <v>21</v>
      </c>
      <c r="P25" s="984"/>
      <c r="Q25" s="1011">
        <f t="shared" si="3"/>
        <v>77</v>
      </c>
      <c r="R25" s="986">
        <f t="shared" si="4"/>
        <v>38.5</v>
      </c>
      <c r="S25" s="896"/>
      <c r="T25" s="975">
        <v>56</v>
      </c>
      <c r="U25" s="1012">
        <v>77</v>
      </c>
      <c r="V25" s="1013"/>
    </row>
    <row r="26" spans="1:22" ht="15">
      <c r="A26" s="949" t="s">
        <v>556</v>
      </c>
      <c r="B26" s="866" t="s">
        <v>684</v>
      </c>
      <c r="C26" s="630">
        <v>1745</v>
      </c>
      <c r="D26" s="630">
        <v>2223</v>
      </c>
      <c r="E26" s="556">
        <v>502</v>
      </c>
      <c r="F26" s="940">
        <v>149</v>
      </c>
      <c r="G26" s="940">
        <v>157</v>
      </c>
      <c r="H26" s="863">
        <v>180</v>
      </c>
      <c r="I26" s="877">
        <v>154</v>
      </c>
      <c r="J26" s="878">
        <v>93</v>
      </c>
      <c r="K26" s="989">
        <v>190</v>
      </c>
      <c r="L26" s="990">
        <v>190</v>
      </c>
      <c r="M26" s="989">
        <v>30</v>
      </c>
      <c r="N26" s="1014">
        <f aca="true" t="shared" si="5" ref="N26:N34">T26-M26</f>
        <v>27</v>
      </c>
      <c r="O26" s="992">
        <f t="shared" si="2"/>
        <v>28</v>
      </c>
      <c r="P26" s="993"/>
      <c r="Q26" s="994">
        <f t="shared" si="3"/>
        <v>85</v>
      </c>
      <c r="R26" s="995">
        <f t="shared" si="4"/>
        <v>44.73684210526316</v>
      </c>
      <c r="S26" s="896"/>
      <c r="T26" s="953">
        <v>57</v>
      </c>
      <c r="U26" s="996">
        <v>85</v>
      </c>
      <c r="V26" s="997"/>
    </row>
    <row r="27" spans="1:22" ht="15">
      <c r="A27" s="949" t="s">
        <v>558</v>
      </c>
      <c r="B27" s="866" t="s">
        <v>685</v>
      </c>
      <c r="C27" s="630">
        <v>0</v>
      </c>
      <c r="D27" s="630">
        <v>0</v>
      </c>
      <c r="E27" s="556">
        <v>504</v>
      </c>
      <c r="F27" s="940"/>
      <c r="G27" s="940"/>
      <c r="H27" s="863"/>
      <c r="I27" s="877"/>
      <c r="J27" s="878">
        <v>0</v>
      </c>
      <c r="K27" s="989">
        <v>0</v>
      </c>
      <c r="L27" s="990">
        <v>0</v>
      </c>
      <c r="M27" s="989"/>
      <c r="N27" s="1014">
        <f t="shared" si="5"/>
        <v>0</v>
      </c>
      <c r="O27" s="992">
        <f t="shared" si="2"/>
        <v>0</v>
      </c>
      <c r="P27" s="993"/>
      <c r="Q27" s="994">
        <f t="shared" si="3"/>
        <v>0</v>
      </c>
      <c r="R27" s="995" t="e">
        <f t="shared" si="4"/>
        <v>#DIV/0!</v>
      </c>
      <c r="S27" s="896"/>
      <c r="T27" s="953"/>
      <c r="U27" s="996"/>
      <c r="V27" s="997"/>
    </row>
    <row r="28" spans="1:22" ht="15">
      <c r="A28" s="949" t="s">
        <v>560</v>
      </c>
      <c r="B28" s="866" t="s">
        <v>686</v>
      </c>
      <c r="C28" s="630">
        <v>428</v>
      </c>
      <c r="D28" s="630">
        <v>253</v>
      </c>
      <c r="E28" s="556">
        <v>511</v>
      </c>
      <c r="F28" s="940">
        <v>180</v>
      </c>
      <c r="G28" s="940">
        <v>64</v>
      </c>
      <c r="H28" s="863">
        <v>191</v>
      </c>
      <c r="I28" s="877">
        <v>27</v>
      </c>
      <c r="J28" s="878">
        <v>60</v>
      </c>
      <c r="K28" s="989">
        <v>100</v>
      </c>
      <c r="L28" s="990">
        <v>100</v>
      </c>
      <c r="M28" s="989">
        <v>17</v>
      </c>
      <c r="N28" s="1014">
        <f t="shared" si="5"/>
        <v>10</v>
      </c>
      <c r="O28" s="992">
        <f t="shared" si="2"/>
        <v>23</v>
      </c>
      <c r="P28" s="993"/>
      <c r="Q28" s="994">
        <f t="shared" si="3"/>
        <v>50</v>
      </c>
      <c r="R28" s="995">
        <f t="shared" si="4"/>
        <v>50</v>
      </c>
      <c r="S28" s="896"/>
      <c r="T28" s="953">
        <v>27</v>
      </c>
      <c r="U28" s="996">
        <v>50</v>
      </c>
      <c r="V28" s="997"/>
    </row>
    <row r="29" spans="1:22" ht="15">
      <c r="A29" s="949" t="s">
        <v>562</v>
      </c>
      <c r="B29" s="866" t="s">
        <v>687</v>
      </c>
      <c r="C29" s="630">
        <v>1057</v>
      </c>
      <c r="D29" s="630">
        <v>1451</v>
      </c>
      <c r="E29" s="556">
        <v>518</v>
      </c>
      <c r="F29" s="940">
        <v>186</v>
      </c>
      <c r="G29" s="940">
        <v>219</v>
      </c>
      <c r="H29" s="863">
        <v>197</v>
      </c>
      <c r="I29" s="877">
        <v>169</v>
      </c>
      <c r="J29" s="878">
        <v>198</v>
      </c>
      <c r="K29" s="989">
        <v>210</v>
      </c>
      <c r="L29" s="990">
        <v>210</v>
      </c>
      <c r="M29" s="989">
        <v>32</v>
      </c>
      <c r="N29" s="1014">
        <f t="shared" si="5"/>
        <v>86</v>
      </c>
      <c r="O29" s="992">
        <f t="shared" si="2"/>
        <v>50</v>
      </c>
      <c r="P29" s="993"/>
      <c r="Q29" s="994">
        <f t="shared" si="3"/>
        <v>168</v>
      </c>
      <c r="R29" s="995">
        <f t="shared" si="4"/>
        <v>80</v>
      </c>
      <c r="S29" s="896"/>
      <c r="T29" s="953">
        <v>118</v>
      </c>
      <c r="U29" s="996">
        <v>168</v>
      </c>
      <c r="V29" s="997"/>
    </row>
    <row r="30" spans="1:22" ht="15">
      <c r="A30" s="949" t="s">
        <v>564</v>
      </c>
      <c r="B30" s="884" t="s">
        <v>688</v>
      </c>
      <c r="C30" s="630">
        <v>10408</v>
      </c>
      <c r="D30" s="630">
        <v>11792</v>
      </c>
      <c r="E30" s="556">
        <v>521</v>
      </c>
      <c r="F30" s="940">
        <v>1216</v>
      </c>
      <c r="G30" s="940">
        <v>1267</v>
      </c>
      <c r="H30" s="863">
        <v>1347</v>
      </c>
      <c r="I30" s="877">
        <v>1276</v>
      </c>
      <c r="J30" s="878">
        <v>1378</v>
      </c>
      <c r="K30" s="989">
        <v>1172</v>
      </c>
      <c r="L30" s="990">
        <v>1172</v>
      </c>
      <c r="M30" s="989">
        <v>292</v>
      </c>
      <c r="N30" s="1014">
        <f t="shared" si="5"/>
        <v>273</v>
      </c>
      <c r="O30" s="992">
        <f t="shared" si="2"/>
        <v>321</v>
      </c>
      <c r="P30" s="993"/>
      <c r="Q30" s="994">
        <f t="shared" si="3"/>
        <v>886</v>
      </c>
      <c r="R30" s="995">
        <f t="shared" si="4"/>
        <v>75.59726962457339</v>
      </c>
      <c r="S30" s="896"/>
      <c r="T30" s="953">
        <v>565</v>
      </c>
      <c r="U30" s="996">
        <v>886</v>
      </c>
      <c r="V30" s="997"/>
    </row>
    <row r="31" spans="1:22" ht="15">
      <c r="A31" s="949" t="s">
        <v>566</v>
      </c>
      <c r="B31" s="884" t="s">
        <v>689</v>
      </c>
      <c r="C31" s="630">
        <v>3640</v>
      </c>
      <c r="D31" s="630">
        <v>4174</v>
      </c>
      <c r="E31" s="556" t="s">
        <v>568</v>
      </c>
      <c r="F31" s="940">
        <v>469</v>
      </c>
      <c r="G31" s="940">
        <v>487</v>
      </c>
      <c r="H31" s="863">
        <v>508</v>
      </c>
      <c r="I31" s="877">
        <v>476</v>
      </c>
      <c r="J31" s="878">
        <v>514</v>
      </c>
      <c r="K31" s="989">
        <v>411</v>
      </c>
      <c r="L31" s="990">
        <v>411</v>
      </c>
      <c r="M31" s="989">
        <v>108</v>
      </c>
      <c r="N31" s="1014">
        <f t="shared" si="5"/>
        <v>104</v>
      </c>
      <c r="O31" s="992">
        <f t="shared" si="2"/>
        <v>113</v>
      </c>
      <c r="P31" s="993"/>
      <c r="Q31" s="994">
        <f t="shared" si="3"/>
        <v>325</v>
      </c>
      <c r="R31" s="995">
        <f t="shared" si="4"/>
        <v>79.07542579075427</v>
      </c>
      <c r="S31" s="896"/>
      <c r="T31" s="953">
        <v>212</v>
      </c>
      <c r="U31" s="996">
        <v>325</v>
      </c>
      <c r="V31" s="997"/>
    </row>
    <row r="32" spans="1:22" ht="15">
      <c r="A32" s="949" t="s">
        <v>569</v>
      </c>
      <c r="B32" s="866" t="s">
        <v>690</v>
      </c>
      <c r="C32" s="630">
        <v>0</v>
      </c>
      <c r="D32" s="630">
        <v>0</v>
      </c>
      <c r="E32" s="556">
        <v>557</v>
      </c>
      <c r="F32" s="940"/>
      <c r="G32" s="940"/>
      <c r="H32" s="863"/>
      <c r="I32" s="877"/>
      <c r="J32" s="878">
        <v>0</v>
      </c>
      <c r="K32" s="989"/>
      <c r="L32" s="990"/>
      <c r="M32" s="989"/>
      <c r="N32" s="1014">
        <f t="shared" si="5"/>
        <v>0</v>
      </c>
      <c r="O32" s="992">
        <f t="shared" si="2"/>
        <v>0</v>
      </c>
      <c r="P32" s="993"/>
      <c r="Q32" s="994">
        <f t="shared" si="3"/>
        <v>0</v>
      </c>
      <c r="R32" s="995" t="e">
        <f t="shared" si="4"/>
        <v>#DIV/0!</v>
      </c>
      <c r="S32" s="896"/>
      <c r="T32" s="953"/>
      <c r="U32" s="996"/>
      <c r="V32" s="997"/>
    </row>
    <row r="33" spans="1:22" ht="15">
      <c r="A33" s="949" t="s">
        <v>571</v>
      </c>
      <c r="B33" s="866" t="s">
        <v>691</v>
      </c>
      <c r="C33" s="630">
        <v>1711</v>
      </c>
      <c r="D33" s="630">
        <v>1801</v>
      </c>
      <c r="E33" s="556">
        <v>551</v>
      </c>
      <c r="F33" s="940"/>
      <c r="G33" s="940"/>
      <c r="H33" s="863"/>
      <c r="I33" s="877"/>
      <c r="J33" s="878">
        <v>0</v>
      </c>
      <c r="K33" s="989"/>
      <c r="L33" s="990"/>
      <c r="M33" s="989"/>
      <c r="N33" s="1014">
        <f t="shared" si="5"/>
        <v>0</v>
      </c>
      <c r="O33" s="992">
        <f t="shared" si="2"/>
        <v>0</v>
      </c>
      <c r="P33" s="993"/>
      <c r="Q33" s="994">
        <f t="shared" si="3"/>
        <v>0</v>
      </c>
      <c r="R33" s="995" t="e">
        <f t="shared" si="4"/>
        <v>#DIV/0!</v>
      </c>
      <c r="S33" s="896"/>
      <c r="T33" s="953"/>
      <c r="U33" s="996"/>
      <c r="V33" s="997"/>
    </row>
    <row r="34" spans="1:22" ht="15.75" thickBot="1">
      <c r="A34" s="918" t="s">
        <v>573</v>
      </c>
      <c r="B34" s="868" t="s">
        <v>692</v>
      </c>
      <c r="C34" s="635">
        <v>569</v>
      </c>
      <c r="D34" s="635">
        <v>614</v>
      </c>
      <c r="E34" s="561" t="s">
        <v>574</v>
      </c>
      <c r="F34" s="920">
        <v>19</v>
      </c>
      <c r="G34" s="920">
        <v>23</v>
      </c>
      <c r="H34" s="869">
        <v>24</v>
      </c>
      <c r="I34" s="885">
        <v>24</v>
      </c>
      <c r="J34" s="886">
        <v>119</v>
      </c>
      <c r="K34" s="1015">
        <v>20</v>
      </c>
      <c r="L34" s="1016">
        <v>20</v>
      </c>
      <c r="M34" s="1017">
        <v>1</v>
      </c>
      <c r="N34" s="1018">
        <f t="shared" si="5"/>
        <v>2</v>
      </c>
      <c r="O34" s="1001">
        <f t="shared" si="2"/>
        <v>16</v>
      </c>
      <c r="P34" s="1002"/>
      <c r="Q34" s="1019">
        <f t="shared" si="3"/>
        <v>19</v>
      </c>
      <c r="R34" s="1004">
        <f t="shared" si="4"/>
        <v>95</v>
      </c>
      <c r="S34" s="896"/>
      <c r="T34" s="937">
        <v>3</v>
      </c>
      <c r="U34" s="1020">
        <v>19</v>
      </c>
      <c r="V34" s="1021"/>
    </row>
    <row r="35" spans="1:22" ht="15.75" thickBot="1">
      <c r="A35" s="1022" t="s">
        <v>575</v>
      </c>
      <c r="B35" s="871" t="s">
        <v>576</v>
      </c>
      <c r="C35" s="574">
        <f>SUM(C25:C34)</f>
        <v>25899</v>
      </c>
      <c r="D35" s="574">
        <f>SUM(D25:D34)</f>
        <v>29268</v>
      </c>
      <c r="E35" s="693"/>
      <c r="F35" s="1023">
        <f aca="true" t="shared" si="6" ref="F35:O35">SUM(F25:F34)</f>
        <v>2620</v>
      </c>
      <c r="G35" s="1023">
        <f t="shared" si="6"/>
        <v>2532</v>
      </c>
      <c r="H35" s="1024">
        <f t="shared" si="6"/>
        <v>2608</v>
      </c>
      <c r="I35" s="1023">
        <f>SUM(I25:I34)</f>
        <v>2332</v>
      </c>
      <c r="J35" s="1024">
        <f>SUM(J25:J34)</f>
        <v>2520</v>
      </c>
      <c r="K35" s="1025">
        <f t="shared" si="6"/>
        <v>2303</v>
      </c>
      <c r="L35" s="1026">
        <f t="shared" si="6"/>
        <v>2303</v>
      </c>
      <c r="M35" s="1023">
        <f t="shared" si="6"/>
        <v>493</v>
      </c>
      <c r="N35" s="1027">
        <f t="shared" si="6"/>
        <v>545</v>
      </c>
      <c r="O35" s="1028">
        <f t="shared" si="6"/>
        <v>572</v>
      </c>
      <c r="P35" s="1029"/>
      <c r="Q35" s="889">
        <f t="shared" si="3"/>
        <v>1610</v>
      </c>
      <c r="R35" s="891">
        <f t="shared" si="4"/>
        <v>69.90881458966565</v>
      </c>
      <c r="S35" s="896"/>
      <c r="T35" s="1030">
        <f>SUM(T25:T34)</f>
        <v>1038</v>
      </c>
      <c r="U35" s="891">
        <f>SUM(U25:U34)</f>
        <v>1610</v>
      </c>
      <c r="V35" s="1030">
        <f>SUM(V25:V34)</f>
        <v>0</v>
      </c>
    </row>
    <row r="36" spans="1:22" ht="15">
      <c r="A36" s="939" t="s">
        <v>577</v>
      </c>
      <c r="B36" s="862" t="s">
        <v>693</v>
      </c>
      <c r="C36" s="617">
        <v>0</v>
      </c>
      <c r="D36" s="617">
        <v>0</v>
      </c>
      <c r="E36" s="554">
        <v>601</v>
      </c>
      <c r="F36" s="1031"/>
      <c r="G36" s="1031"/>
      <c r="H36" s="887"/>
      <c r="I36" s="882"/>
      <c r="J36" s="883">
        <v>0</v>
      </c>
      <c r="K36" s="1007"/>
      <c r="L36" s="1008"/>
      <c r="M36" s="981"/>
      <c r="N36" s="943">
        <f>T36-M36</f>
        <v>0</v>
      </c>
      <c r="O36" s="974">
        <f>U36-T36</f>
        <v>0</v>
      </c>
      <c r="P36" s="984"/>
      <c r="Q36" s="1011">
        <f t="shared" si="3"/>
        <v>0</v>
      </c>
      <c r="R36" s="986" t="e">
        <f t="shared" si="4"/>
        <v>#DIV/0!</v>
      </c>
      <c r="S36" s="896"/>
      <c r="T36" s="975"/>
      <c r="U36" s="1012"/>
      <c r="V36" s="1013"/>
    </row>
    <row r="37" spans="1:22" ht="15">
      <c r="A37" s="949" t="s">
        <v>579</v>
      </c>
      <c r="B37" s="866" t="s">
        <v>694</v>
      </c>
      <c r="C37" s="630">
        <v>1190</v>
      </c>
      <c r="D37" s="630">
        <v>1857</v>
      </c>
      <c r="E37" s="556">
        <v>602</v>
      </c>
      <c r="F37" s="1032">
        <v>175</v>
      </c>
      <c r="G37" s="1032">
        <v>177</v>
      </c>
      <c r="H37" s="863">
        <v>173</v>
      </c>
      <c r="I37" s="877">
        <v>205</v>
      </c>
      <c r="J37" s="878">
        <v>178</v>
      </c>
      <c r="K37" s="989"/>
      <c r="L37" s="990"/>
      <c r="M37" s="991">
        <v>36</v>
      </c>
      <c r="N37" s="943">
        <f>T37-M37</f>
        <v>51</v>
      </c>
      <c r="O37" s="974">
        <f>U37-T37</f>
        <v>17</v>
      </c>
      <c r="P37" s="993"/>
      <c r="Q37" s="994">
        <f t="shared" si="3"/>
        <v>104</v>
      </c>
      <c r="R37" s="995" t="e">
        <f t="shared" si="4"/>
        <v>#DIV/0!</v>
      </c>
      <c r="S37" s="896"/>
      <c r="T37" s="953">
        <v>87</v>
      </c>
      <c r="U37" s="996">
        <v>104</v>
      </c>
      <c r="V37" s="997"/>
    </row>
    <row r="38" spans="1:22" ht="15">
      <c r="A38" s="949" t="s">
        <v>581</v>
      </c>
      <c r="B38" s="866" t="s">
        <v>695</v>
      </c>
      <c r="C38" s="630">
        <v>0</v>
      </c>
      <c r="D38" s="630">
        <v>0</v>
      </c>
      <c r="E38" s="556">
        <v>604</v>
      </c>
      <c r="F38" s="1032"/>
      <c r="G38" s="1032"/>
      <c r="H38" s="863"/>
      <c r="I38" s="877"/>
      <c r="J38" s="878">
        <v>0</v>
      </c>
      <c r="K38" s="989"/>
      <c r="L38" s="990"/>
      <c r="M38" s="991"/>
      <c r="N38" s="943">
        <f>T38-M38</f>
        <v>0</v>
      </c>
      <c r="O38" s="974">
        <f>U38-T38</f>
        <v>0</v>
      </c>
      <c r="P38" s="993"/>
      <c r="Q38" s="994">
        <f t="shared" si="3"/>
        <v>0</v>
      </c>
      <c r="R38" s="995" t="e">
        <f t="shared" si="4"/>
        <v>#DIV/0!</v>
      </c>
      <c r="S38" s="896"/>
      <c r="T38" s="953"/>
      <c r="U38" s="996"/>
      <c r="V38" s="997"/>
    </row>
    <row r="39" spans="1:22" ht="15">
      <c r="A39" s="949" t="s">
        <v>583</v>
      </c>
      <c r="B39" s="866" t="s">
        <v>696</v>
      </c>
      <c r="C39" s="630">
        <v>12472</v>
      </c>
      <c r="D39" s="630">
        <v>13728</v>
      </c>
      <c r="E39" s="556" t="s">
        <v>585</v>
      </c>
      <c r="F39" s="1032">
        <v>2336</v>
      </c>
      <c r="G39" s="1032">
        <v>2388</v>
      </c>
      <c r="H39" s="863">
        <v>2517</v>
      </c>
      <c r="I39" s="877">
        <v>2378</v>
      </c>
      <c r="J39" s="878">
        <v>2563</v>
      </c>
      <c r="K39" s="989">
        <v>2303</v>
      </c>
      <c r="L39" s="990">
        <v>2303</v>
      </c>
      <c r="M39" s="991">
        <v>617</v>
      </c>
      <c r="N39" s="943">
        <f>T39-M39</f>
        <v>536</v>
      </c>
      <c r="O39" s="974">
        <f>U39-T39</f>
        <v>549</v>
      </c>
      <c r="P39" s="993"/>
      <c r="Q39" s="994">
        <f t="shared" si="3"/>
        <v>1702</v>
      </c>
      <c r="R39" s="995">
        <f t="shared" si="4"/>
        <v>73.9036039947894</v>
      </c>
      <c r="S39" s="896"/>
      <c r="T39" s="953">
        <v>1153</v>
      </c>
      <c r="U39" s="996">
        <v>1702</v>
      </c>
      <c r="V39" s="997"/>
    </row>
    <row r="40" spans="1:22" ht="15.75" thickBot="1">
      <c r="A40" s="918" t="s">
        <v>586</v>
      </c>
      <c r="B40" s="868" t="s">
        <v>692</v>
      </c>
      <c r="C40" s="635">
        <v>12330</v>
      </c>
      <c r="D40" s="635">
        <v>13218</v>
      </c>
      <c r="E40" s="561" t="s">
        <v>587</v>
      </c>
      <c r="F40" s="1033">
        <v>135</v>
      </c>
      <c r="G40" s="1033"/>
      <c r="H40" s="869"/>
      <c r="I40" s="885"/>
      <c r="J40" s="886">
        <v>0</v>
      </c>
      <c r="K40" s="1015"/>
      <c r="L40" s="1016"/>
      <c r="M40" s="1034">
        <v>1</v>
      </c>
      <c r="N40" s="943">
        <f>T40-M40</f>
        <v>0</v>
      </c>
      <c r="O40" s="974">
        <f>U40-T40</f>
        <v>1</v>
      </c>
      <c r="P40" s="1002"/>
      <c r="Q40" s="1019">
        <f t="shared" si="3"/>
        <v>2</v>
      </c>
      <c r="R40" s="1004" t="e">
        <f t="shared" si="4"/>
        <v>#DIV/0!</v>
      </c>
      <c r="S40" s="896"/>
      <c r="T40" s="937">
        <v>1</v>
      </c>
      <c r="U40" s="1020">
        <v>2</v>
      </c>
      <c r="V40" s="1021"/>
    </row>
    <row r="41" spans="1:22" ht="15.75" thickBot="1">
      <c r="A41" s="1022" t="s">
        <v>588</v>
      </c>
      <c r="B41" s="871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1023">
        <f aca="true" t="shared" si="7" ref="F41:P41">SUM(F36:F40)</f>
        <v>2646</v>
      </c>
      <c r="G41" s="1023">
        <f t="shared" si="7"/>
        <v>2565</v>
      </c>
      <c r="H41" s="1024">
        <f t="shared" si="7"/>
        <v>2690</v>
      </c>
      <c r="I41" s="1023">
        <f>SUM(I36:I40)</f>
        <v>2583</v>
      </c>
      <c r="J41" s="1024">
        <f>SUM(J36:J40)</f>
        <v>2741</v>
      </c>
      <c r="K41" s="1025">
        <f t="shared" si="7"/>
        <v>2303</v>
      </c>
      <c r="L41" s="1026">
        <f t="shared" si="7"/>
        <v>2303</v>
      </c>
      <c r="M41" s="1023">
        <f t="shared" si="7"/>
        <v>654</v>
      </c>
      <c r="N41" s="1035">
        <f t="shared" si="7"/>
        <v>587</v>
      </c>
      <c r="O41" s="1028">
        <f t="shared" si="7"/>
        <v>567</v>
      </c>
      <c r="P41" s="890">
        <f t="shared" si="7"/>
        <v>0</v>
      </c>
      <c r="Q41" s="1023">
        <f t="shared" si="3"/>
        <v>1808</v>
      </c>
      <c r="R41" s="891">
        <f t="shared" si="4"/>
        <v>78.50629613547547</v>
      </c>
      <c r="S41" s="896"/>
      <c r="T41" s="1030">
        <f>SUM(T36:T40)</f>
        <v>1241</v>
      </c>
      <c r="U41" s="891">
        <f>SUM(U36:U40)</f>
        <v>1808</v>
      </c>
      <c r="V41" s="1030">
        <f>SUM(V36:V40)</f>
        <v>0</v>
      </c>
    </row>
    <row r="42" spans="1:22" ht="5.25" customHeight="1" thickBot="1">
      <c r="A42" s="918"/>
      <c r="B42" s="888"/>
      <c r="C42" s="706"/>
      <c r="D42" s="706"/>
      <c r="E42" s="570"/>
      <c r="F42" s="1033"/>
      <c r="G42" s="1033"/>
      <c r="H42" s="1036"/>
      <c r="I42" s="889"/>
      <c r="J42" s="890"/>
      <c r="K42" s="1037"/>
      <c r="L42" s="1038"/>
      <c r="M42" s="920"/>
      <c r="N42" s="1039"/>
      <c r="O42" s="924"/>
      <c r="P42" s="1039"/>
      <c r="Q42" s="1023"/>
      <c r="R42" s="891"/>
      <c r="S42" s="896"/>
      <c r="T42" s="1040"/>
      <c r="U42" s="891"/>
      <c r="V42" s="891"/>
    </row>
    <row r="43" spans="1:22" ht="15.75" thickBot="1">
      <c r="A43" s="1041" t="s">
        <v>590</v>
      </c>
      <c r="B43" s="871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1023">
        <f>F41-F39</f>
        <v>310</v>
      </c>
      <c r="G43" s="1023">
        <f aca="true" t="shared" si="8" ref="G43:P43">G41-G39</f>
        <v>177</v>
      </c>
      <c r="H43" s="1023">
        <f t="shared" si="8"/>
        <v>173</v>
      </c>
      <c r="I43" s="1023">
        <f>I41-I39</f>
        <v>205</v>
      </c>
      <c r="J43" s="1024">
        <f>J41-J39</f>
        <v>178</v>
      </c>
      <c r="K43" s="1024">
        <f>K41-K39</f>
        <v>0</v>
      </c>
      <c r="L43" s="1042">
        <f t="shared" si="8"/>
        <v>0</v>
      </c>
      <c r="M43" s="1023">
        <f>M41-M39</f>
        <v>37</v>
      </c>
      <c r="N43" s="1035">
        <f t="shared" si="8"/>
        <v>51</v>
      </c>
      <c r="O43" s="1023">
        <f t="shared" si="8"/>
        <v>18</v>
      </c>
      <c r="P43" s="1035">
        <f t="shared" si="8"/>
        <v>0</v>
      </c>
      <c r="Q43" s="1043">
        <f t="shared" si="3"/>
        <v>106</v>
      </c>
      <c r="R43" s="986" t="e">
        <f t="shared" si="4"/>
        <v>#DIV/0!</v>
      </c>
      <c r="S43" s="896"/>
      <c r="T43" s="1030">
        <f>T41-T39</f>
        <v>88</v>
      </c>
      <c r="U43" s="891">
        <f>U41-U39</f>
        <v>106</v>
      </c>
      <c r="V43" s="1030">
        <f>V41-V39</f>
        <v>0</v>
      </c>
    </row>
    <row r="44" spans="1:22" ht="15.75" thickBot="1">
      <c r="A44" s="1022" t="s">
        <v>591</v>
      </c>
      <c r="B44" s="871"/>
      <c r="C44" s="574">
        <f>+C41-C35</f>
        <v>93</v>
      </c>
      <c r="D44" s="574">
        <f>+D41-D35</f>
        <v>-465</v>
      </c>
      <c r="E44" s="693" t="s">
        <v>521</v>
      </c>
      <c r="F44" s="1023">
        <f>F41-F35</f>
        <v>26</v>
      </c>
      <c r="G44" s="1023">
        <f aca="true" t="shared" si="9" ref="G44:P44">G41-G35</f>
        <v>33</v>
      </c>
      <c r="H44" s="1023">
        <f t="shared" si="9"/>
        <v>82</v>
      </c>
      <c r="I44" s="1023">
        <f>I41-I35</f>
        <v>251</v>
      </c>
      <c r="J44" s="1024">
        <f>J41-J35</f>
        <v>221</v>
      </c>
      <c r="K44" s="1024">
        <f>K41-K35</f>
        <v>0</v>
      </c>
      <c r="L44" s="1042">
        <f t="shared" si="9"/>
        <v>0</v>
      </c>
      <c r="M44" s="1023">
        <f>M41-M35</f>
        <v>161</v>
      </c>
      <c r="N44" s="1035">
        <f t="shared" si="9"/>
        <v>42</v>
      </c>
      <c r="O44" s="1023">
        <f t="shared" si="9"/>
        <v>-5</v>
      </c>
      <c r="P44" s="1035">
        <f t="shared" si="9"/>
        <v>0</v>
      </c>
      <c r="Q44" s="1044">
        <f t="shared" si="3"/>
        <v>198</v>
      </c>
      <c r="R44" s="995" t="e">
        <f t="shared" si="4"/>
        <v>#DIV/0!</v>
      </c>
      <c r="S44" s="896"/>
      <c r="T44" s="1030">
        <f>T41-T35</f>
        <v>203</v>
      </c>
      <c r="U44" s="891">
        <f>U41-U35</f>
        <v>198</v>
      </c>
      <c r="V44" s="1030">
        <f>V41-V35</f>
        <v>0</v>
      </c>
    </row>
    <row r="45" spans="1:22" ht="15.75" thickBot="1">
      <c r="A45" s="1045" t="s">
        <v>593</v>
      </c>
      <c r="B45" s="89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1023">
        <f>F44-F39</f>
        <v>-2310</v>
      </c>
      <c r="G45" s="1023">
        <f aca="true" t="shared" si="10" ref="G45:P45">G44-G39</f>
        <v>-2355</v>
      </c>
      <c r="H45" s="1023">
        <f t="shared" si="10"/>
        <v>-2435</v>
      </c>
      <c r="I45" s="1023">
        <f>I44-I39</f>
        <v>-2127</v>
      </c>
      <c r="J45" s="1024">
        <f>J44-J39</f>
        <v>-2342</v>
      </c>
      <c r="K45" s="1024">
        <f t="shared" si="10"/>
        <v>-2303</v>
      </c>
      <c r="L45" s="1042">
        <f t="shared" si="10"/>
        <v>-2303</v>
      </c>
      <c r="M45" s="1023">
        <f t="shared" si="10"/>
        <v>-456</v>
      </c>
      <c r="N45" s="1035">
        <f t="shared" si="10"/>
        <v>-494</v>
      </c>
      <c r="O45" s="1023">
        <f t="shared" si="10"/>
        <v>-554</v>
      </c>
      <c r="P45" s="1035">
        <f t="shared" si="10"/>
        <v>0</v>
      </c>
      <c r="Q45" s="1046">
        <f t="shared" si="3"/>
        <v>-1504</v>
      </c>
      <c r="R45" s="1004">
        <f t="shared" si="4"/>
        <v>65.3061224489796</v>
      </c>
      <c r="S45" s="896"/>
      <c r="T45" s="1030">
        <f>T44-T39</f>
        <v>-950</v>
      </c>
      <c r="U45" s="891">
        <f>U44-U39</f>
        <v>-1504</v>
      </c>
      <c r="V45" s="1030">
        <f>V44-V39</f>
        <v>0</v>
      </c>
    </row>
    <row r="48" ht="14.25">
      <c r="A48" s="893" t="s">
        <v>697</v>
      </c>
    </row>
    <row r="49" ht="14.25">
      <c r="A49" s="894" t="s">
        <v>698</v>
      </c>
    </row>
    <row r="50" ht="14.25">
      <c r="A50" s="1047" t="s">
        <v>699</v>
      </c>
    </row>
    <row r="51" ht="14.25">
      <c r="A51" s="1048"/>
    </row>
    <row r="52" ht="12.75">
      <c r="A52" s="1049" t="s">
        <v>700</v>
      </c>
    </row>
    <row r="53" ht="12.75">
      <c r="A53" s="1049"/>
    </row>
    <row r="54" ht="12.75">
      <c r="A54" s="1049" t="s">
        <v>701</v>
      </c>
    </row>
    <row r="55" ht="12.75">
      <c r="A55" s="1049" t="s">
        <v>702</v>
      </c>
    </row>
    <row r="56" ht="12.75">
      <c r="A56" s="1049"/>
    </row>
    <row r="57" ht="12.75">
      <c r="A57" s="1049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0">
      <selection activeCell="K5" sqref="K5"/>
    </sheetView>
  </sheetViews>
  <sheetFormatPr defaultColWidth="9.140625" defaultRowHeight="12.75"/>
  <cols>
    <col min="1" max="1" width="37.7109375" style="108" customWidth="1"/>
    <col min="2" max="2" width="18.7109375" style="108" customWidth="1"/>
    <col min="3" max="4" width="9.140625" style="108" hidden="1" customWidth="1"/>
    <col min="5" max="5" width="9.140625" style="576" hidden="1" customWidth="1"/>
    <col min="6" max="8" width="9.140625" style="108" hidden="1" customWidth="1"/>
    <col min="9" max="10" width="11.57421875" style="496" hidden="1" customWidth="1"/>
    <col min="11" max="11" width="11.57421875" style="496" customWidth="1"/>
    <col min="12" max="12" width="11.421875" style="496" customWidth="1"/>
    <col min="13" max="13" width="9.8515625" style="496" customWidth="1"/>
    <col min="14" max="14" width="9.140625" style="496" customWidth="1"/>
    <col min="15" max="15" width="9.28125" style="496" customWidth="1"/>
    <col min="16" max="16" width="9.140625" style="496" customWidth="1"/>
    <col min="17" max="17" width="12.00390625" style="496" customWidth="1"/>
    <col min="18" max="18" width="9.421875" style="478" customWidth="1"/>
    <col min="19" max="19" width="3.421875" style="496" customWidth="1"/>
    <col min="20" max="20" width="12.57421875" style="496" customWidth="1"/>
    <col min="21" max="21" width="11.8515625" style="496" customWidth="1"/>
    <col min="22" max="22" width="12.00390625" style="496" customWidth="1"/>
    <col min="23" max="16384" width="9.140625" style="108" customWidth="1"/>
  </cols>
  <sheetData>
    <row r="1" spans="1:22" ht="18">
      <c r="A1" s="1050" t="s">
        <v>665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13" ht="21.75" customHeight="1">
      <c r="A2" s="895" t="s">
        <v>595</v>
      </c>
      <c r="B2" s="896"/>
      <c r="L2" s="897"/>
      <c r="M2" s="897"/>
    </row>
    <row r="3" spans="1:13" ht="12.75">
      <c r="A3" s="902"/>
      <c r="L3" s="897"/>
      <c r="M3" s="897"/>
    </row>
    <row r="4" spans="1:13" ht="13.5" thickBot="1">
      <c r="A4" s="1053"/>
      <c r="B4" s="186"/>
      <c r="C4" s="186"/>
      <c r="D4" s="186"/>
      <c r="E4" s="577"/>
      <c r="F4" s="186"/>
      <c r="G4" s="186"/>
      <c r="L4" s="897"/>
      <c r="M4" s="897"/>
    </row>
    <row r="5" spans="1:13" ht="16.5" thickBot="1">
      <c r="A5" s="898" t="s">
        <v>492</v>
      </c>
      <c r="B5" s="899" t="s">
        <v>703</v>
      </c>
      <c r="C5" s="579"/>
      <c r="D5" s="579"/>
      <c r="E5" s="580"/>
      <c r="F5" s="579"/>
      <c r="G5" s="581"/>
      <c r="H5" s="579"/>
      <c r="I5" s="900"/>
      <c r="J5" s="855"/>
      <c r="K5" s="855"/>
      <c r="L5" s="901"/>
      <c r="M5" s="901"/>
    </row>
    <row r="6" spans="1:13" ht="23.25" customHeight="1" thickBot="1">
      <c r="A6" s="902" t="s">
        <v>494</v>
      </c>
      <c r="L6" s="897"/>
      <c r="M6" s="897"/>
    </row>
    <row r="7" spans="1:22" ht="13.5" thickBot="1">
      <c r="A7" s="1054" t="s">
        <v>27</v>
      </c>
      <c r="B7" s="904" t="s">
        <v>498</v>
      </c>
      <c r="C7" s="905"/>
      <c r="D7" s="905"/>
      <c r="E7" s="904" t="s">
        <v>501</v>
      </c>
      <c r="F7" s="905"/>
      <c r="G7" s="905"/>
      <c r="H7" s="906" t="s">
        <v>667</v>
      </c>
      <c r="I7" s="906" t="s">
        <v>668</v>
      </c>
      <c r="J7" s="906" t="s">
        <v>669</v>
      </c>
      <c r="K7" s="1055" t="s">
        <v>670</v>
      </c>
      <c r="L7" s="1055"/>
      <c r="M7" s="1055" t="s">
        <v>495</v>
      </c>
      <c r="N7" s="1055"/>
      <c r="O7" s="1055"/>
      <c r="P7" s="1055"/>
      <c r="Q7" s="1056" t="s">
        <v>671</v>
      </c>
      <c r="R7" s="1057" t="s">
        <v>497</v>
      </c>
      <c r="T7" s="907" t="s">
        <v>672</v>
      </c>
      <c r="U7" s="907"/>
      <c r="V7" s="907"/>
    </row>
    <row r="8" spans="1:22" ht="13.5" thickBot="1">
      <c r="A8" s="1054"/>
      <c r="B8" s="904"/>
      <c r="C8" s="910" t="s">
        <v>499</v>
      </c>
      <c r="D8" s="910" t="s">
        <v>500</v>
      </c>
      <c r="E8" s="904"/>
      <c r="F8" s="910" t="s">
        <v>673</v>
      </c>
      <c r="G8" s="910" t="s">
        <v>674</v>
      </c>
      <c r="H8" s="906"/>
      <c r="I8" s="906"/>
      <c r="J8" s="906"/>
      <c r="K8" s="912" t="s">
        <v>31</v>
      </c>
      <c r="L8" s="912" t="s">
        <v>32</v>
      </c>
      <c r="M8" s="913" t="s">
        <v>508</v>
      </c>
      <c r="N8" s="1058" t="s">
        <v>511</v>
      </c>
      <c r="O8" s="1058" t="s">
        <v>514</v>
      </c>
      <c r="P8" s="915" t="s">
        <v>517</v>
      </c>
      <c r="Q8" s="912" t="s">
        <v>518</v>
      </c>
      <c r="R8" s="1059" t="s">
        <v>519</v>
      </c>
      <c r="T8" s="1060" t="s">
        <v>676</v>
      </c>
      <c r="U8" s="1060" t="s">
        <v>677</v>
      </c>
      <c r="V8" s="1061" t="s">
        <v>678</v>
      </c>
    </row>
    <row r="9" spans="1:22" ht="12.75">
      <c r="A9" s="918" t="s">
        <v>520</v>
      </c>
      <c r="B9" s="599"/>
      <c r="C9" s="600">
        <v>104</v>
      </c>
      <c r="D9" s="600">
        <v>104</v>
      </c>
      <c r="E9" s="546"/>
      <c r="F9" s="1062">
        <v>6</v>
      </c>
      <c r="G9" s="1062">
        <v>6</v>
      </c>
      <c r="H9" s="1062">
        <v>6</v>
      </c>
      <c r="I9" s="929">
        <v>6</v>
      </c>
      <c r="J9" s="929">
        <v>6</v>
      </c>
      <c r="K9" s="946"/>
      <c r="L9" s="946"/>
      <c r="M9" s="1063">
        <v>6</v>
      </c>
      <c r="N9" s="1064">
        <f>T9</f>
        <v>6</v>
      </c>
      <c r="O9" s="983">
        <f>U9</f>
        <v>6</v>
      </c>
      <c r="P9" s="1065"/>
      <c r="Q9" s="1066" t="s">
        <v>521</v>
      </c>
      <c r="R9" s="1067" t="s">
        <v>521</v>
      </c>
      <c r="S9" s="1068"/>
      <c r="T9" s="1069">
        <v>6</v>
      </c>
      <c r="U9" s="928">
        <v>6</v>
      </c>
      <c r="V9" s="929"/>
    </row>
    <row r="10" spans="1:22" ht="13.5" thickBot="1">
      <c r="A10" s="930" t="s">
        <v>522</v>
      </c>
      <c r="B10" s="606"/>
      <c r="C10" s="607">
        <v>101</v>
      </c>
      <c r="D10" s="607">
        <v>104</v>
      </c>
      <c r="E10" s="608"/>
      <c r="F10" s="1070">
        <v>5.5</v>
      </c>
      <c r="G10" s="1070">
        <v>5.9</v>
      </c>
      <c r="H10" s="1070">
        <v>6</v>
      </c>
      <c r="I10" s="936">
        <v>6</v>
      </c>
      <c r="J10" s="936">
        <v>6</v>
      </c>
      <c r="K10" s="933"/>
      <c r="L10" s="933"/>
      <c r="M10" s="861">
        <v>6</v>
      </c>
      <c r="N10" s="1071">
        <f aca="true" t="shared" si="0" ref="N10:O21">T10</f>
        <v>6</v>
      </c>
      <c r="O10" s="1001">
        <f t="shared" si="0"/>
        <v>6</v>
      </c>
      <c r="P10" s="956"/>
      <c r="Q10" s="933" t="s">
        <v>521</v>
      </c>
      <c r="R10" s="1072" t="s">
        <v>521</v>
      </c>
      <c r="S10" s="1068"/>
      <c r="T10" s="1073">
        <v>6</v>
      </c>
      <c r="U10" s="938">
        <v>6</v>
      </c>
      <c r="V10" s="936"/>
    </row>
    <row r="11" spans="1:22" ht="12.75">
      <c r="A11" s="939" t="s">
        <v>523</v>
      </c>
      <c r="B11" s="616" t="s">
        <v>524</v>
      </c>
      <c r="C11" s="617">
        <v>37915</v>
      </c>
      <c r="D11" s="617">
        <v>39774</v>
      </c>
      <c r="E11" s="618" t="s">
        <v>525</v>
      </c>
      <c r="F11" s="1032">
        <v>1259</v>
      </c>
      <c r="G11" s="1032">
        <v>1342.7</v>
      </c>
      <c r="H11" s="1032">
        <v>1518</v>
      </c>
      <c r="I11" s="947">
        <v>1486</v>
      </c>
      <c r="J11" s="1051">
        <v>1717</v>
      </c>
      <c r="K11" s="945" t="s">
        <v>521</v>
      </c>
      <c r="L11" s="1074" t="s">
        <v>521</v>
      </c>
      <c r="M11" s="865">
        <v>1729</v>
      </c>
      <c r="N11" s="1064">
        <f t="shared" si="0"/>
        <v>1846</v>
      </c>
      <c r="O11" s="983">
        <f t="shared" si="0"/>
        <v>1854</v>
      </c>
      <c r="P11" s="984"/>
      <c r="Q11" s="948" t="s">
        <v>521</v>
      </c>
      <c r="R11" s="1075" t="s">
        <v>521</v>
      </c>
      <c r="S11" s="1068"/>
      <c r="T11" s="1069">
        <v>1846</v>
      </c>
      <c r="U11" s="947">
        <v>1854</v>
      </c>
      <c r="V11" s="948"/>
    </row>
    <row r="12" spans="1:22" ht="12.75">
      <c r="A12" s="949" t="s">
        <v>526</v>
      </c>
      <c r="B12" s="629" t="s">
        <v>527</v>
      </c>
      <c r="C12" s="630">
        <v>-16164</v>
      </c>
      <c r="D12" s="630">
        <v>-17825</v>
      </c>
      <c r="E12" s="618" t="s">
        <v>528</v>
      </c>
      <c r="F12" s="1032">
        <v>-1259</v>
      </c>
      <c r="G12" s="1032">
        <v>-1342.7</v>
      </c>
      <c r="H12" s="1032">
        <v>1518</v>
      </c>
      <c r="I12" s="947">
        <v>1486</v>
      </c>
      <c r="J12" s="947">
        <v>1557</v>
      </c>
      <c r="K12" s="952" t="s">
        <v>521</v>
      </c>
      <c r="L12" s="1076" t="s">
        <v>521</v>
      </c>
      <c r="M12" s="867">
        <v>1569</v>
      </c>
      <c r="N12" s="1077">
        <f t="shared" si="0"/>
        <v>1597</v>
      </c>
      <c r="O12" s="992">
        <f t="shared" si="0"/>
        <v>1606</v>
      </c>
      <c r="P12" s="993"/>
      <c r="Q12" s="948" t="s">
        <v>521</v>
      </c>
      <c r="R12" s="1075" t="s">
        <v>521</v>
      </c>
      <c r="S12" s="1068"/>
      <c r="T12" s="1032">
        <v>1597</v>
      </c>
      <c r="U12" s="947">
        <v>1606</v>
      </c>
      <c r="V12" s="948"/>
    </row>
    <row r="13" spans="1:22" ht="12.75">
      <c r="A13" s="949" t="s">
        <v>529</v>
      </c>
      <c r="B13" s="629" t="s">
        <v>679</v>
      </c>
      <c r="C13" s="630">
        <v>604</v>
      </c>
      <c r="D13" s="630">
        <v>619</v>
      </c>
      <c r="E13" s="618" t="s">
        <v>531</v>
      </c>
      <c r="F13" s="1032"/>
      <c r="G13" s="1032"/>
      <c r="H13" s="1032"/>
      <c r="I13" s="947"/>
      <c r="J13" s="947"/>
      <c r="K13" s="952" t="s">
        <v>521</v>
      </c>
      <c r="L13" s="1076" t="s">
        <v>521</v>
      </c>
      <c r="M13" s="867"/>
      <c r="N13" s="1077">
        <f t="shared" si="0"/>
        <v>0</v>
      </c>
      <c r="O13" s="992">
        <f t="shared" si="0"/>
        <v>0</v>
      </c>
      <c r="P13" s="993"/>
      <c r="Q13" s="948" t="s">
        <v>521</v>
      </c>
      <c r="R13" s="1075" t="s">
        <v>521</v>
      </c>
      <c r="S13" s="1068"/>
      <c r="T13" s="1032"/>
      <c r="U13" s="947"/>
      <c r="V13" s="948"/>
    </row>
    <row r="14" spans="1:22" ht="12.75">
      <c r="A14" s="949" t="s">
        <v>532</v>
      </c>
      <c r="B14" s="629" t="s">
        <v>680</v>
      </c>
      <c r="C14" s="630">
        <v>221</v>
      </c>
      <c r="D14" s="630">
        <v>610</v>
      </c>
      <c r="E14" s="618" t="s">
        <v>521</v>
      </c>
      <c r="F14" s="1032">
        <v>67</v>
      </c>
      <c r="G14" s="1032">
        <v>94.61</v>
      </c>
      <c r="H14" s="1032">
        <v>86</v>
      </c>
      <c r="I14" s="947">
        <v>75</v>
      </c>
      <c r="J14" s="947">
        <v>77</v>
      </c>
      <c r="K14" s="952" t="s">
        <v>521</v>
      </c>
      <c r="L14" s="1076" t="s">
        <v>521</v>
      </c>
      <c r="M14" s="867">
        <v>552</v>
      </c>
      <c r="N14" s="1077">
        <f t="shared" si="0"/>
        <v>387</v>
      </c>
      <c r="O14" s="992">
        <f t="shared" si="0"/>
        <v>239</v>
      </c>
      <c r="P14" s="993"/>
      <c r="Q14" s="948" t="s">
        <v>521</v>
      </c>
      <c r="R14" s="1075" t="s">
        <v>521</v>
      </c>
      <c r="S14" s="1068"/>
      <c r="T14" s="1032">
        <v>387</v>
      </c>
      <c r="U14" s="947">
        <v>239</v>
      </c>
      <c r="V14" s="948"/>
    </row>
    <row r="15" spans="1:22" ht="13.5" thickBot="1">
      <c r="A15" s="918" t="s">
        <v>534</v>
      </c>
      <c r="B15" s="634" t="s">
        <v>681</v>
      </c>
      <c r="C15" s="635">
        <v>2021</v>
      </c>
      <c r="D15" s="635">
        <v>852</v>
      </c>
      <c r="E15" s="550" t="s">
        <v>536</v>
      </c>
      <c r="F15" s="1033">
        <v>394</v>
      </c>
      <c r="G15" s="1033">
        <v>442.65</v>
      </c>
      <c r="H15" s="1033">
        <v>369</v>
      </c>
      <c r="I15" s="959">
        <v>449</v>
      </c>
      <c r="J15" s="959">
        <v>408</v>
      </c>
      <c r="K15" s="957" t="s">
        <v>521</v>
      </c>
      <c r="L15" s="1078" t="s">
        <v>521</v>
      </c>
      <c r="M15" s="858">
        <v>670</v>
      </c>
      <c r="N15" s="1079">
        <f t="shared" si="0"/>
        <v>791</v>
      </c>
      <c r="O15" s="1001">
        <f t="shared" si="0"/>
        <v>627</v>
      </c>
      <c r="P15" s="1002"/>
      <c r="Q15" s="960" t="s">
        <v>521</v>
      </c>
      <c r="R15" s="1067" t="s">
        <v>521</v>
      </c>
      <c r="S15" s="1068"/>
      <c r="T15" s="1070">
        <v>791</v>
      </c>
      <c r="U15" s="959">
        <v>627</v>
      </c>
      <c r="V15" s="960"/>
    </row>
    <row r="16" spans="1:22" ht="15.75" thickBot="1">
      <c r="A16" s="961" t="s">
        <v>537</v>
      </c>
      <c r="B16" s="641"/>
      <c r="C16" s="642">
        <v>24618</v>
      </c>
      <c r="D16" s="642">
        <v>24087</v>
      </c>
      <c r="E16" s="643"/>
      <c r="F16" s="1023">
        <v>465</v>
      </c>
      <c r="G16" s="1023">
        <v>544.21</v>
      </c>
      <c r="H16" s="1023">
        <v>455</v>
      </c>
      <c r="I16" s="969">
        <v>524</v>
      </c>
      <c r="J16" s="969">
        <f>J11-J12+J13+J14+J15</f>
        <v>645</v>
      </c>
      <c r="K16" s="967" t="s">
        <v>521</v>
      </c>
      <c r="L16" s="1080" t="s">
        <v>521</v>
      </c>
      <c r="M16" s="966">
        <f>M11-M12+M13+M14+M15</f>
        <v>1382</v>
      </c>
      <c r="N16" s="1081">
        <f>N11-N12+N13+N14+N15</f>
        <v>1427</v>
      </c>
      <c r="O16" s="1081">
        <f>O11-O12+O13+O14+O15</f>
        <v>1114</v>
      </c>
      <c r="P16" s="1082"/>
      <c r="Q16" s="969" t="s">
        <v>521</v>
      </c>
      <c r="R16" s="1083" t="s">
        <v>521</v>
      </c>
      <c r="S16" s="1068"/>
      <c r="T16" s="1084">
        <f>T11-T12+T13+T14+T15</f>
        <v>1427</v>
      </c>
      <c r="U16" s="1084">
        <f>U11-U12+U13+U14+U15</f>
        <v>1114</v>
      </c>
      <c r="V16" s="1084">
        <v>0</v>
      </c>
    </row>
    <row r="17" spans="1:22" ht="12.75">
      <c r="A17" s="918" t="s">
        <v>538</v>
      </c>
      <c r="B17" s="616" t="s">
        <v>539</v>
      </c>
      <c r="C17" s="617">
        <v>7043</v>
      </c>
      <c r="D17" s="617">
        <v>7240</v>
      </c>
      <c r="E17" s="550">
        <v>401</v>
      </c>
      <c r="F17" s="1033"/>
      <c r="G17" s="1033"/>
      <c r="H17" s="1033"/>
      <c r="I17" s="959"/>
      <c r="J17" s="959">
        <v>160</v>
      </c>
      <c r="K17" s="945" t="s">
        <v>521</v>
      </c>
      <c r="L17" s="1074" t="s">
        <v>521</v>
      </c>
      <c r="M17" s="858">
        <v>160</v>
      </c>
      <c r="N17" s="1010">
        <f t="shared" si="0"/>
        <v>248</v>
      </c>
      <c r="O17" s="943">
        <f>U17</f>
        <v>248</v>
      </c>
      <c r="P17" s="944"/>
      <c r="Q17" s="960" t="s">
        <v>521</v>
      </c>
      <c r="R17" s="1067" t="s">
        <v>521</v>
      </c>
      <c r="S17" s="1068"/>
      <c r="T17" s="1031">
        <v>248</v>
      </c>
      <c r="U17" s="959">
        <v>248</v>
      </c>
      <c r="V17" s="1085"/>
    </row>
    <row r="18" spans="1:22" ht="12.75">
      <c r="A18" s="949" t="s">
        <v>540</v>
      </c>
      <c r="B18" s="629" t="s">
        <v>541</v>
      </c>
      <c r="C18" s="630">
        <v>1001</v>
      </c>
      <c r="D18" s="630">
        <v>820</v>
      </c>
      <c r="E18" s="618" t="s">
        <v>542</v>
      </c>
      <c r="F18" s="1032">
        <v>153</v>
      </c>
      <c r="G18" s="1032">
        <v>97.5</v>
      </c>
      <c r="H18" s="1032">
        <v>165</v>
      </c>
      <c r="I18" s="947">
        <v>165</v>
      </c>
      <c r="J18" s="947">
        <v>145</v>
      </c>
      <c r="K18" s="952" t="s">
        <v>521</v>
      </c>
      <c r="L18" s="1076" t="s">
        <v>521</v>
      </c>
      <c r="M18" s="867">
        <v>130</v>
      </c>
      <c r="N18" s="992">
        <f t="shared" si="0"/>
        <v>140</v>
      </c>
      <c r="O18" s="943">
        <f>U18</f>
        <v>109</v>
      </c>
      <c r="P18" s="951"/>
      <c r="Q18" s="948" t="s">
        <v>521</v>
      </c>
      <c r="R18" s="1075" t="s">
        <v>521</v>
      </c>
      <c r="S18" s="1068"/>
      <c r="T18" s="1032">
        <v>140</v>
      </c>
      <c r="U18" s="947">
        <v>109</v>
      </c>
      <c r="V18" s="947"/>
    </row>
    <row r="19" spans="1:22" ht="12.75">
      <c r="A19" s="949" t="s">
        <v>543</v>
      </c>
      <c r="B19" s="629" t="s">
        <v>682</v>
      </c>
      <c r="C19" s="630">
        <v>14718</v>
      </c>
      <c r="D19" s="630">
        <v>14718</v>
      </c>
      <c r="E19" s="618" t="s">
        <v>521</v>
      </c>
      <c r="F19" s="1032"/>
      <c r="G19" s="1032"/>
      <c r="H19" s="1032"/>
      <c r="I19" s="947"/>
      <c r="J19" s="947"/>
      <c r="K19" s="952" t="s">
        <v>521</v>
      </c>
      <c r="L19" s="1076" t="s">
        <v>521</v>
      </c>
      <c r="M19" s="867"/>
      <c r="N19" s="992">
        <f t="shared" si="0"/>
        <v>0</v>
      </c>
      <c r="O19" s="943">
        <f>U19</f>
        <v>0</v>
      </c>
      <c r="P19" s="951"/>
      <c r="Q19" s="948" t="s">
        <v>521</v>
      </c>
      <c r="R19" s="1075" t="s">
        <v>521</v>
      </c>
      <c r="S19" s="1068"/>
      <c r="T19" s="1032"/>
      <c r="U19" s="947"/>
      <c r="V19" s="947"/>
    </row>
    <row r="20" spans="1:22" ht="12.75">
      <c r="A20" s="949" t="s">
        <v>545</v>
      </c>
      <c r="B20" s="629" t="s">
        <v>544</v>
      </c>
      <c r="C20" s="630">
        <v>1758</v>
      </c>
      <c r="D20" s="630">
        <v>1762</v>
      </c>
      <c r="E20" s="618" t="s">
        <v>521</v>
      </c>
      <c r="F20" s="1032">
        <v>144</v>
      </c>
      <c r="G20" s="1032">
        <v>161.66</v>
      </c>
      <c r="H20" s="1032">
        <v>249</v>
      </c>
      <c r="I20" s="947">
        <v>221</v>
      </c>
      <c r="J20" s="947">
        <v>242</v>
      </c>
      <c r="K20" s="952" t="s">
        <v>521</v>
      </c>
      <c r="L20" s="1076" t="s">
        <v>521</v>
      </c>
      <c r="M20" s="867">
        <v>934</v>
      </c>
      <c r="N20" s="992">
        <f t="shared" si="0"/>
        <v>910</v>
      </c>
      <c r="O20" s="943">
        <f>U20</f>
        <v>566</v>
      </c>
      <c r="P20" s="951"/>
      <c r="Q20" s="948" t="s">
        <v>521</v>
      </c>
      <c r="R20" s="1075" t="s">
        <v>521</v>
      </c>
      <c r="S20" s="1068"/>
      <c r="T20" s="1032">
        <v>910</v>
      </c>
      <c r="U20" s="947">
        <v>566</v>
      </c>
      <c r="V20" s="947"/>
    </row>
    <row r="21" spans="1:22" ht="13.5" thickBot="1">
      <c r="A21" s="930" t="s">
        <v>547</v>
      </c>
      <c r="B21" s="653"/>
      <c r="C21" s="654">
        <v>0</v>
      </c>
      <c r="D21" s="654">
        <v>0</v>
      </c>
      <c r="E21" s="655" t="s">
        <v>521</v>
      </c>
      <c r="F21" s="1032"/>
      <c r="G21" s="1032"/>
      <c r="H21" s="1032"/>
      <c r="I21" s="1052"/>
      <c r="J21" s="1052"/>
      <c r="K21" s="933" t="s">
        <v>521</v>
      </c>
      <c r="L21" s="1086" t="s">
        <v>521</v>
      </c>
      <c r="M21" s="873"/>
      <c r="N21" s="1001">
        <f t="shared" si="0"/>
        <v>0</v>
      </c>
      <c r="O21" s="956">
        <f>U21</f>
        <v>0</v>
      </c>
      <c r="P21" s="955"/>
      <c r="Q21" s="977" t="s">
        <v>521</v>
      </c>
      <c r="R21" s="1087" t="s">
        <v>521</v>
      </c>
      <c r="S21" s="1068"/>
      <c r="T21" s="1073"/>
      <c r="U21" s="1052"/>
      <c r="V21" s="977"/>
    </row>
    <row r="22" spans="1:22" ht="15.75" thickBot="1">
      <c r="A22" s="978" t="s">
        <v>549</v>
      </c>
      <c r="B22" s="616" t="s">
        <v>550</v>
      </c>
      <c r="C22" s="617">
        <v>12472</v>
      </c>
      <c r="D22" s="617">
        <v>13728</v>
      </c>
      <c r="E22" s="554" t="s">
        <v>521</v>
      </c>
      <c r="F22" s="1069">
        <v>2587</v>
      </c>
      <c r="G22" s="1069">
        <v>2437</v>
      </c>
      <c r="H22" s="979">
        <v>2530</v>
      </c>
      <c r="I22" s="876">
        <v>2527</v>
      </c>
      <c r="J22" s="875">
        <v>2604</v>
      </c>
      <c r="K22" s="1088">
        <f>K35</f>
        <v>2677</v>
      </c>
      <c r="L22" s="1088">
        <f>L35</f>
        <v>2677</v>
      </c>
      <c r="M22" s="980">
        <v>649</v>
      </c>
      <c r="N22" s="1089">
        <f>T22-M22</f>
        <v>686</v>
      </c>
      <c r="O22" s="983">
        <f>U22-T22</f>
        <v>700</v>
      </c>
      <c r="P22" s="973"/>
      <c r="Q22" s="1043">
        <f>SUM(M22:P22)</f>
        <v>2035</v>
      </c>
      <c r="R22" s="986">
        <f>(Q22/L22)*100</f>
        <v>76.01793051923795</v>
      </c>
      <c r="S22" s="1068"/>
      <c r="T22" s="1069">
        <v>1335</v>
      </c>
      <c r="U22" s="1090">
        <v>2035</v>
      </c>
      <c r="V22" s="875"/>
    </row>
    <row r="23" spans="1:22" ht="15.75" thickBot="1">
      <c r="A23" s="949" t="s">
        <v>551</v>
      </c>
      <c r="B23" s="629" t="s">
        <v>552</v>
      </c>
      <c r="C23" s="630">
        <v>0</v>
      </c>
      <c r="D23" s="630">
        <v>0</v>
      </c>
      <c r="E23" s="556" t="s">
        <v>521</v>
      </c>
      <c r="F23" s="1032"/>
      <c r="G23" s="1032"/>
      <c r="H23" s="940"/>
      <c r="I23" s="878"/>
      <c r="J23" s="877">
        <v>50</v>
      </c>
      <c r="K23" s="1091"/>
      <c r="L23" s="1092"/>
      <c r="M23" s="989"/>
      <c r="N23" s="1093">
        <f aca="true" t="shared" si="1" ref="N23:N40">T23-M23</f>
        <v>0</v>
      </c>
      <c r="O23" s="992">
        <f aca="true" t="shared" si="2" ref="O23:O40">U23-T23</f>
        <v>0</v>
      </c>
      <c r="P23" s="993"/>
      <c r="Q23" s="1044">
        <f aca="true" t="shared" si="3" ref="Q23:Q45">SUM(M23:P23)</f>
        <v>0</v>
      </c>
      <c r="R23" s="986" t="e">
        <f aca="true" t="shared" si="4" ref="R23:R45">(Q23/L23)*100</f>
        <v>#DIV/0!</v>
      </c>
      <c r="S23" s="1068"/>
      <c r="T23" s="1032"/>
      <c r="U23" s="1094"/>
      <c r="V23" s="877"/>
    </row>
    <row r="24" spans="1:22" ht="15.75" thickBot="1">
      <c r="A24" s="930" t="s">
        <v>553</v>
      </c>
      <c r="B24" s="653" t="s">
        <v>552</v>
      </c>
      <c r="C24" s="654">
        <v>0</v>
      </c>
      <c r="D24" s="654">
        <v>1215</v>
      </c>
      <c r="E24" s="558">
        <v>672</v>
      </c>
      <c r="F24" s="1095">
        <v>890</v>
      </c>
      <c r="G24" s="1095">
        <v>696</v>
      </c>
      <c r="H24" s="998">
        <v>700</v>
      </c>
      <c r="I24" s="881">
        <v>650</v>
      </c>
      <c r="J24" s="880">
        <v>640</v>
      </c>
      <c r="K24" s="1096">
        <f>SUM(K25:K29)</f>
        <v>700</v>
      </c>
      <c r="L24" s="1096">
        <f>SUM(L25:L29)</f>
        <v>700</v>
      </c>
      <c r="M24" s="1097">
        <v>174</v>
      </c>
      <c r="N24" s="1098">
        <f t="shared" si="1"/>
        <v>174</v>
      </c>
      <c r="O24" s="1001">
        <f t="shared" si="2"/>
        <v>174</v>
      </c>
      <c r="P24" s="1002"/>
      <c r="Q24" s="1046">
        <f t="shared" si="3"/>
        <v>522</v>
      </c>
      <c r="R24" s="986">
        <f t="shared" si="4"/>
        <v>74.57142857142857</v>
      </c>
      <c r="S24" s="1068"/>
      <c r="T24" s="1070">
        <v>348</v>
      </c>
      <c r="U24" s="1099">
        <v>522</v>
      </c>
      <c r="V24" s="880"/>
    </row>
    <row r="25" spans="1:22" ht="15.75" thickBot="1">
      <c r="A25" s="939" t="s">
        <v>554</v>
      </c>
      <c r="B25" s="616" t="s">
        <v>683</v>
      </c>
      <c r="C25" s="617">
        <v>6341</v>
      </c>
      <c r="D25" s="617">
        <v>6960</v>
      </c>
      <c r="E25" s="554">
        <v>501</v>
      </c>
      <c r="F25" s="1032">
        <v>360</v>
      </c>
      <c r="G25" s="1032">
        <v>353.12</v>
      </c>
      <c r="H25" s="940">
        <v>311</v>
      </c>
      <c r="I25" s="882">
        <v>220</v>
      </c>
      <c r="J25" s="882">
        <v>152</v>
      </c>
      <c r="K25" s="1100">
        <v>160</v>
      </c>
      <c r="L25" s="1100">
        <v>160</v>
      </c>
      <c r="M25" s="1100">
        <v>36</v>
      </c>
      <c r="N25" s="982">
        <f t="shared" si="1"/>
        <v>78</v>
      </c>
      <c r="O25" s="983">
        <f t="shared" si="2"/>
        <v>40</v>
      </c>
      <c r="P25" s="984"/>
      <c r="Q25" s="1101">
        <f t="shared" si="3"/>
        <v>154</v>
      </c>
      <c r="R25" s="986">
        <f t="shared" si="4"/>
        <v>96.25</v>
      </c>
      <c r="S25" s="1068"/>
      <c r="T25" s="1031">
        <v>114</v>
      </c>
      <c r="U25" s="1102">
        <v>154</v>
      </c>
      <c r="V25" s="882"/>
    </row>
    <row r="26" spans="1:22" ht="15.75" thickBot="1">
      <c r="A26" s="949" t="s">
        <v>556</v>
      </c>
      <c r="B26" s="629" t="s">
        <v>684</v>
      </c>
      <c r="C26" s="630">
        <v>1745</v>
      </c>
      <c r="D26" s="630">
        <v>2223</v>
      </c>
      <c r="E26" s="556">
        <v>502</v>
      </c>
      <c r="F26" s="1032">
        <v>110</v>
      </c>
      <c r="G26" s="1032">
        <v>134.52</v>
      </c>
      <c r="H26" s="940">
        <v>117</v>
      </c>
      <c r="I26" s="877">
        <v>102</v>
      </c>
      <c r="J26" s="877">
        <v>79</v>
      </c>
      <c r="K26" s="991">
        <v>131</v>
      </c>
      <c r="L26" s="991">
        <v>131</v>
      </c>
      <c r="M26" s="991">
        <v>25</v>
      </c>
      <c r="N26" s="982">
        <f t="shared" si="1"/>
        <v>24</v>
      </c>
      <c r="O26" s="992">
        <f t="shared" si="2"/>
        <v>21</v>
      </c>
      <c r="P26" s="993"/>
      <c r="Q26" s="1103">
        <f t="shared" si="3"/>
        <v>70</v>
      </c>
      <c r="R26" s="986">
        <f t="shared" si="4"/>
        <v>53.43511450381679</v>
      </c>
      <c r="S26" s="1068"/>
      <c r="T26" s="1032">
        <v>49</v>
      </c>
      <c r="U26" s="1094">
        <v>70</v>
      </c>
      <c r="V26" s="877"/>
    </row>
    <row r="27" spans="1:22" ht="15.75" thickBot="1">
      <c r="A27" s="949" t="s">
        <v>558</v>
      </c>
      <c r="B27" s="629" t="s">
        <v>685</v>
      </c>
      <c r="C27" s="630">
        <v>0</v>
      </c>
      <c r="D27" s="630">
        <v>0</v>
      </c>
      <c r="E27" s="556">
        <v>504</v>
      </c>
      <c r="F27" s="1032"/>
      <c r="G27" s="1032"/>
      <c r="H27" s="940"/>
      <c r="I27" s="877"/>
      <c r="J27" s="877"/>
      <c r="K27" s="991"/>
      <c r="L27" s="991"/>
      <c r="M27" s="991"/>
      <c r="N27" s="982">
        <f t="shared" si="1"/>
        <v>0</v>
      </c>
      <c r="O27" s="992">
        <f t="shared" si="2"/>
        <v>0</v>
      </c>
      <c r="P27" s="993"/>
      <c r="Q27" s="1103">
        <f t="shared" si="3"/>
        <v>0</v>
      </c>
      <c r="R27" s="986" t="e">
        <f t="shared" si="4"/>
        <v>#DIV/0!</v>
      </c>
      <c r="S27" s="1068"/>
      <c r="T27" s="1032"/>
      <c r="U27" s="1094"/>
      <c r="V27" s="877"/>
    </row>
    <row r="28" spans="1:22" ht="15.75" thickBot="1">
      <c r="A28" s="949" t="s">
        <v>560</v>
      </c>
      <c r="B28" s="629" t="s">
        <v>686</v>
      </c>
      <c r="C28" s="630">
        <v>428</v>
      </c>
      <c r="D28" s="630">
        <v>253</v>
      </c>
      <c r="E28" s="556">
        <v>511</v>
      </c>
      <c r="F28" s="1032">
        <v>282</v>
      </c>
      <c r="G28" s="1032">
        <v>169.67</v>
      </c>
      <c r="H28" s="940">
        <v>129</v>
      </c>
      <c r="I28" s="877">
        <v>96</v>
      </c>
      <c r="J28" s="877">
        <v>25</v>
      </c>
      <c r="K28" s="991">
        <v>150</v>
      </c>
      <c r="L28" s="991">
        <v>150</v>
      </c>
      <c r="M28" s="991">
        <v>5</v>
      </c>
      <c r="N28" s="982">
        <f t="shared" si="1"/>
        <v>1</v>
      </c>
      <c r="O28" s="992">
        <f t="shared" si="2"/>
        <v>24</v>
      </c>
      <c r="P28" s="993"/>
      <c r="Q28" s="1103">
        <f t="shared" si="3"/>
        <v>30</v>
      </c>
      <c r="R28" s="986">
        <f t="shared" si="4"/>
        <v>20</v>
      </c>
      <c r="S28" s="1068"/>
      <c r="T28" s="1032">
        <v>6</v>
      </c>
      <c r="U28" s="1094">
        <v>30</v>
      </c>
      <c r="V28" s="877"/>
    </row>
    <row r="29" spans="1:22" ht="15.75" thickBot="1">
      <c r="A29" s="949" t="s">
        <v>562</v>
      </c>
      <c r="B29" s="629" t="s">
        <v>687</v>
      </c>
      <c r="C29" s="630">
        <v>1057</v>
      </c>
      <c r="D29" s="630">
        <v>1451</v>
      </c>
      <c r="E29" s="556">
        <v>518</v>
      </c>
      <c r="F29" s="1032">
        <v>185</v>
      </c>
      <c r="G29" s="1032">
        <v>213</v>
      </c>
      <c r="H29" s="940">
        <v>270</v>
      </c>
      <c r="I29" s="877">
        <v>268</v>
      </c>
      <c r="J29" s="877">
        <v>282</v>
      </c>
      <c r="K29" s="991">
        <v>259</v>
      </c>
      <c r="L29" s="991">
        <v>259</v>
      </c>
      <c r="M29" s="991">
        <v>66</v>
      </c>
      <c r="N29" s="982">
        <f t="shared" si="1"/>
        <v>56</v>
      </c>
      <c r="O29" s="992">
        <f t="shared" si="2"/>
        <v>48</v>
      </c>
      <c r="P29" s="993"/>
      <c r="Q29" s="1103">
        <f t="shared" si="3"/>
        <v>170</v>
      </c>
      <c r="R29" s="986">
        <f t="shared" si="4"/>
        <v>65.63706563706563</v>
      </c>
      <c r="S29" s="1068"/>
      <c r="T29" s="1032">
        <v>122</v>
      </c>
      <c r="U29" s="1094">
        <v>170</v>
      </c>
      <c r="V29" s="877"/>
    </row>
    <row r="30" spans="1:22" ht="15.75" thickBot="1">
      <c r="A30" s="949" t="s">
        <v>564</v>
      </c>
      <c r="B30" s="684" t="s">
        <v>688</v>
      </c>
      <c r="C30" s="630">
        <v>10408</v>
      </c>
      <c r="D30" s="630">
        <v>11792</v>
      </c>
      <c r="E30" s="556">
        <v>521</v>
      </c>
      <c r="F30" s="1032">
        <v>1260</v>
      </c>
      <c r="G30" s="1032">
        <v>1267.31</v>
      </c>
      <c r="H30" s="940">
        <v>1376</v>
      </c>
      <c r="I30" s="877">
        <v>1446</v>
      </c>
      <c r="J30" s="877">
        <v>1521</v>
      </c>
      <c r="K30" s="991">
        <v>1446</v>
      </c>
      <c r="L30" s="991">
        <v>1446</v>
      </c>
      <c r="M30" s="991">
        <v>385</v>
      </c>
      <c r="N30" s="982">
        <f t="shared" si="1"/>
        <v>358</v>
      </c>
      <c r="O30" s="992">
        <f t="shared" si="2"/>
        <v>411</v>
      </c>
      <c r="P30" s="993"/>
      <c r="Q30" s="1103">
        <f t="shared" si="3"/>
        <v>1154</v>
      </c>
      <c r="R30" s="986">
        <f t="shared" si="4"/>
        <v>79.80636237897649</v>
      </c>
      <c r="S30" s="1068"/>
      <c r="T30" s="1032">
        <v>743</v>
      </c>
      <c r="U30" s="1094">
        <v>1154</v>
      </c>
      <c r="V30" s="877"/>
    </row>
    <row r="31" spans="1:22" ht="15.75" thickBot="1">
      <c r="A31" s="949" t="s">
        <v>566</v>
      </c>
      <c r="B31" s="684" t="s">
        <v>689</v>
      </c>
      <c r="C31" s="630">
        <v>3640</v>
      </c>
      <c r="D31" s="630">
        <v>4174</v>
      </c>
      <c r="E31" s="556" t="s">
        <v>568</v>
      </c>
      <c r="F31" s="1032">
        <v>485</v>
      </c>
      <c r="G31" s="1032">
        <v>496.24</v>
      </c>
      <c r="H31" s="940">
        <v>527</v>
      </c>
      <c r="I31" s="877">
        <v>544</v>
      </c>
      <c r="J31" s="877">
        <v>560</v>
      </c>
      <c r="K31" s="991">
        <v>506</v>
      </c>
      <c r="L31" s="991">
        <v>506</v>
      </c>
      <c r="M31" s="991">
        <v>136</v>
      </c>
      <c r="N31" s="982">
        <f t="shared" si="1"/>
        <v>134</v>
      </c>
      <c r="O31" s="992">
        <f t="shared" si="2"/>
        <v>147</v>
      </c>
      <c r="P31" s="993"/>
      <c r="Q31" s="1103">
        <f t="shared" si="3"/>
        <v>417</v>
      </c>
      <c r="R31" s="986">
        <f t="shared" si="4"/>
        <v>82.41106719367589</v>
      </c>
      <c r="S31" s="1068"/>
      <c r="T31" s="1032">
        <v>270</v>
      </c>
      <c r="U31" s="1094">
        <v>417</v>
      </c>
      <c r="V31" s="877"/>
    </row>
    <row r="32" spans="1:22" ht="15.75" thickBot="1">
      <c r="A32" s="949" t="s">
        <v>569</v>
      </c>
      <c r="B32" s="629" t="s">
        <v>690</v>
      </c>
      <c r="C32" s="630">
        <v>0</v>
      </c>
      <c r="D32" s="630">
        <v>0</v>
      </c>
      <c r="E32" s="556">
        <v>557</v>
      </c>
      <c r="F32" s="1032"/>
      <c r="G32" s="1032"/>
      <c r="H32" s="940"/>
      <c r="I32" s="877"/>
      <c r="J32" s="877"/>
      <c r="K32" s="991"/>
      <c r="L32" s="991"/>
      <c r="M32" s="991"/>
      <c r="N32" s="982">
        <f t="shared" si="1"/>
        <v>0</v>
      </c>
      <c r="O32" s="992">
        <f t="shared" si="2"/>
        <v>0</v>
      </c>
      <c r="P32" s="993"/>
      <c r="Q32" s="1103">
        <f t="shared" si="3"/>
        <v>0</v>
      </c>
      <c r="R32" s="986" t="e">
        <f t="shared" si="4"/>
        <v>#DIV/0!</v>
      </c>
      <c r="S32" s="1068"/>
      <c r="T32" s="1032"/>
      <c r="U32" s="1094"/>
      <c r="V32" s="877"/>
    </row>
    <row r="33" spans="1:22" ht="15.75" thickBot="1">
      <c r="A33" s="949" t="s">
        <v>571</v>
      </c>
      <c r="B33" s="629" t="s">
        <v>691</v>
      </c>
      <c r="C33" s="630">
        <v>1711</v>
      </c>
      <c r="D33" s="630">
        <v>1801</v>
      </c>
      <c r="E33" s="556">
        <v>551</v>
      </c>
      <c r="F33" s="1032"/>
      <c r="G33" s="1032"/>
      <c r="H33" s="940"/>
      <c r="I33" s="877"/>
      <c r="J33" s="877"/>
      <c r="K33" s="991"/>
      <c r="L33" s="991"/>
      <c r="M33" s="991"/>
      <c r="N33" s="982">
        <f t="shared" si="1"/>
        <v>0</v>
      </c>
      <c r="O33" s="992">
        <f t="shared" si="2"/>
        <v>1</v>
      </c>
      <c r="P33" s="993"/>
      <c r="Q33" s="1103">
        <f t="shared" si="3"/>
        <v>1</v>
      </c>
      <c r="R33" s="986" t="e">
        <f t="shared" si="4"/>
        <v>#DIV/0!</v>
      </c>
      <c r="S33" s="1068"/>
      <c r="T33" s="1032"/>
      <c r="U33" s="1094">
        <v>1</v>
      </c>
      <c r="V33" s="877"/>
    </row>
    <row r="34" spans="1:22" ht="15.75" thickBot="1">
      <c r="A34" s="918" t="s">
        <v>573</v>
      </c>
      <c r="B34" s="634" t="s">
        <v>692</v>
      </c>
      <c r="C34" s="635">
        <v>569</v>
      </c>
      <c r="D34" s="635">
        <v>614</v>
      </c>
      <c r="E34" s="561" t="s">
        <v>574</v>
      </c>
      <c r="F34" s="1033">
        <v>24</v>
      </c>
      <c r="G34" s="1033">
        <v>11</v>
      </c>
      <c r="H34" s="920">
        <v>15</v>
      </c>
      <c r="I34" s="885">
        <v>18</v>
      </c>
      <c r="J34" s="885">
        <v>151</v>
      </c>
      <c r="K34" s="1104">
        <v>25</v>
      </c>
      <c r="L34" s="1104">
        <v>25</v>
      </c>
      <c r="M34" s="1034">
        <v>9</v>
      </c>
      <c r="N34" s="982">
        <f t="shared" si="1"/>
        <v>20</v>
      </c>
      <c r="O34" s="1001">
        <f t="shared" si="2"/>
        <v>21</v>
      </c>
      <c r="P34" s="1002"/>
      <c r="Q34" s="1105">
        <f t="shared" si="3"/>
        <v>50</v>
      </c>
      <c r="R34" s="986">
        <f t="shared" si="4"/>
        <v>200</v>
      </c>
      <c r="S34" s="1068"/>
      <c r="T34" s="1073">
        <v>29</v>
      </c>
      <c r="U34" s="1106">
        <v>50</v>
      </c>
      <c r="V34" s="885"/>
    </row>
    <row r="35" spans="1:22" ht="15.75" thickBot="1">
      <c r="A35" s="1022" t="s">
        <v>575</v>
      </c>
      <c r="B35" s="692" t="s">
        <v>576</v>
      </c>
      <c r="C35" s="574">
        <f>SUM(C25:C34)</f>
        <v>25899</v>
      </c>
      <c r="D35" s="574">
        <f>SUM(D25:D34)</f>
        <v>29268</v>
      </c>
      <c r="E35" s="693"/>
      <c r="F35" s="1023">
        <f aca="true" t="shared" si="5" ref="F35:O35">SUM(F25:F34)</f>
        <v>2706</v>
      </c>
      <c r="G35" s="1023">
        <f t="shared" si="5"/>
        <v>2644.8599999999997</v>
      </c>
      <c r="H35" s="1023">
        <f t="shared" si="5"/>
        <v>2745</v>
      </c>
      <c r="I35" s="1023">
        <f t="shared" si="5"/>
        <v>2694</v>
      </c>
      <c r="J35" s="1023">
        <f t="shared" si="5"/>
        <v>2770</v>
      </c>
      <c r="K35" s="1107">
        <f t="shared" si="5"/>
        <v>2677</v>
      </c>
      <c r="L35" s="1108">
        <f t="shared" si="5"/>
        <v>2677</v>
      </c>
      <c r="M35" s="1108">
        <f t="shared" si="5"/>
        <v>662</v>
      </c>
      <c r="N35" s="1026">
        <f t="shared" si="5"/>
        <v>671</v>
      </c>
      <c r="O35" s="1109">
        <f t="shared" si="5"/>
        <v>713</v>
      </c>
      <c r="P35" s="1110"/>
      <c r="Q35" s="1023">
        <f t="shared" si="3"/>
        <v>2046</v>
      </c>
      <c r="R35" s="986">
        <f t="shared" si="4"/>
        <v>76.42883825177438</v>
      </c>
      <c r="S35" s="1068"/>
      <c r="T35" s="1023">
        <f>SUM(T25:T34)</f>
        <v>1333</v>
      </c>
      <c r="U35" s="889">
        <f>SUM(U25:U34)</f>
        <v>2046</v>
      </c>
      <c r="V35" s="1023">
        <v>0</v>
      </c>
    </row>
    <row r="36" spans="1:22" ht="15.75" thickBot="1">
      <c r="A36" s="939" t="s">
        <v>577</v>
      </c>
      <c r="B36" s="616" t="s">
        <v>693</v>
      </c>
      <c r="C36" s="617">
        <v>0</v>
      </c>
      <c r="D36" s="617">
        <v>0</v>
      </c>
      <c r="E36" s="554">
        <v>601</v>
      </c>
      <c r="F36" s="1031"/>
      <c r="G36" s="1031"/>
      <c r="H36" s="941"/>
      <c r="I36" s="882"/>
      <c r="J36" s="882"/>
      <c r="K36" s="1100"/>
      <c r="L36" s="1111"/>
      <c r="M36" s="981"/>
      <c r="N36" s="982">
        <f t="shared" si="1"/>
        <v>0</v>
      </c>
      <c r="O36" s="983">
        <f t="shared" si="2"/>
        <v>0</v>
      </c>
      <c r="P36" s="1112"/>
      <c r="Q36" s="1043">
        <f t="shared" si="3"/>
        <v>0</v>
      </c>
      <c r="R36" s="986" t="e">
        <f t="shared" si="4"/>
        <v>#DIV/0!</v>
      </c>
      <c r="S36" s="1068"/>
      <c r="T36" s="1031"/>
      <c r="U36" s="1102"/>
      <c r="V36" s="1113"/>
    </row>
    <row r="37" spans="1:22" ht="15.75" thickBot="1">
      <c r="A37" s="949" t="s">
        <v>579</v>
      </c>
      <c r="B37" s="629" t="s">
        <v>694</v>
      </c>
      <c r="C37" s="630">
        <v>1190</v>
      </c>
      <c r="D37" s="630">
        <v>1857</v>
      </c>
      <c r="E37" s="556">
        <v>602</v>
      </c>
      <c r="F37" s="1032">
        <v>181</v>
      </c>
      <c r="G37" s="1032">
        <v>208.39</v>
      </c>
      <c r="H37" s="940">
        <v>163</v>
      </c>
      <c r="I37" s="877">
        <v>235</v>
      </c>
      <c r="J37" s="877">
        <v>148</v>
      </c>
      <c r="K37" s="991"/>
      <c r="L37" s="1092"/>
      <c r="M37" s="991">
        <v>48</v>
      </c>
      <c r="N37" s="982">
        <f t="shared" si="1"/>
        <v>49</v>
      </c>
      <c r="O37" s="992">
        <f t="shared" si="2"/>
        <v>26</v>
      </c>
      <c r="P37" s="943"/>
      <c r="Q37" s="1044">
        <f t="shared" si="3"/>
        <v>123</v>
      </c>
      <c r="R37" s="986" t="e">
        <f t="shared" si="4"/>
        <v>#DIV/0!</v>
      </c>
      <c r="S37" s="1068"/>
      <c r="T37" s="1032">
        <v>97</v>
      </c>
      <c r="U37" s="1094">
        <v>123</v>
      </c>
      <c r="V37" s="877"/>
    </row>
    <row r="38" spans="1:22" ht="15.75" thickBot="1">
      <c r="A38" s="949" t="s">
        <v>581</v>
      </c>
      <c r="B38" s="629" t="s">
        <v>695</v>
      </c>
      <c r="C38" s="630">
        <v>0</v>
      </c>
      <c r="D38" s="630">
        <v>0</v>
      </c>
      <c r="E38" s="556">
        <v>604</v>
      </c>
      <c r="F38" s="1032"/>
      <c r="G38" s="1032"/>
      <c r="H38" s="940"/>
      <c r="I38" s="877"/>
      <c r="J38" s="877"/>
      <c r="K38" s="991"/>
      <c r="L38" s="1092"/>
      <c r="M38" s="991"/>
      <c r="N38" s="982">
        <f t="shared" si="1"/>
        <v>0</v>
      </c>
      <c r="O38" s="992">
        <f t="shared" si="2"/>
        <v>0</v>
      </c>
      <c r="P38" s="943"/>
      <c r="Q38" s="1044">
        <f t="shared" si="3"/>
        <v>0</v>
      </c>
      <c r="R38" s="986" t="e">
        <f t="shared" si="4"/>
        <v>#DIV/0!</v>
      </c>
      <c r="S38" s="1068"/>
      <c r="T38" s="1032"/>
      <c r="U38" s="1094"/>
      <c r="V38" s="877"/>
    </row>
    <row r="39" spans="1:22" ht="15.75" thickBot="1">
      <c r="A39" s="949" t="s">
        <v>583</v>
      </c>
      <c r="B39" s="629" t="s">
        <v>696</v>
      </c>
      <c r="C39" s="630">
        <v>12472</v>
      </c>
      <c r="D39" s="630">
        <v>13728</v>
      </c>
      <c r="E39" s="556" t="s">
        <v>585</v>
      </c>
      <c r="F39" s="1032">
        <v>2587</v>
      </c>
      <c r="G39" s="1032">
        <v>2437</v>
      </c>
      <c r="H39" s="940">
        <v>2530</v>
      </c>
      <c r="I39" s="877">
        <v>2527</v>
      </c>
      <c r="J39" s="877">
        <v>2604</v>
      </c>
      <c r="K39" s="991">
        <v>2677</v>
      </c>
      <c r="L39" s="1092">
        <v>2677</v>
      </c>
      <c r="M39" s="991">
        <v>649</v>
      </c>
      <c r="N39" s="982">
        <f t="shared" si="1"/>
        <v>686</v>
      </c>
      <c r="O39" s="992">
        <f t="shared" si="2"/>
        <v>700</v>
      </c>
      <c r="P39" s="943"/>
      <c r="Q39" s="1044">
        <f t="shared" si="3"/>
        <v>2035</v>
      </c>
      <c r="R39" s="986">
        <f t="shared" si="4"/>
        <v>76.01793051923795</v>
      </c>
      <c r="S39" s="1068"/>
      <c r="T39" s="1032">
        <v>1335</v>
      </c>
      <c r="U39" s="1094">
        <v>2035</v>
      </c>
      <c r="V39" s="877"/>
    </row>
    <row r="40" spans="1:22" ht="15.75" thickBot="1">
      <c r="A40" s="918" t="s">
        <v>586</v>
      </c>
      <c r="B40" s="634" t="s">
        <v>692</v>
      </c>
      <c r="C40" s="635">
        <v>12330</v>
      </c>
      <c r="D40" s="635">
        <v>13218</v>
      </c>
      <c r="E40" s="561" t="s">
        <v>587</v>
      </c>
      <c r="F40" s="1033">
        <v>17</v>
      </c>
      <c r="G40" s="1033">
        <v>146.25</v>
      </c>
      <c r="H40" s="920">
        <v>93</v>
      </c>
      <c r="I40" s="885">
        <v>70</v>
      </c>
      <c r="J40" s="885">
        <v>118</v>
      </c>
      <c r="K40" s="1104"/>
      <c r="L40" s="1114"/>
      <c r="M40" s="1034">
        <v>25</v>
      </c>
      <c r="N40" s="982">
        <f t="shared" si="1"/>
        <v>5</v>
      </c>
      <c r="O40" s="1001">
        <f t="shared" si="2"/>
        <v>49</v>
      </c>
      <c r="P40" s="934"/>
      <c r="Q40" s="1046">
        <f t="shared" si="3"/>
        <v>79</v>
      </c>
      <c r="R40" s="986" t="e">
        <f t="shared" si="4"/>
        <v>#DIV/0!</v>
      </c>
      <c r="S40" s="1068"/>
      <c r="T40" s="1073">
        <v>30</v>
      </c>
      <c r="U40" s="1106">
        <v>79</v>
      </c>
      <c r="V40" s="885"/>
    </row>
    <row r="41" spans="1:22" ht="15.75" thickBot="1">
      <c r="A41" s="1022" t="s">
        <v>588</v>
      </c>
      <c r="B41" s="692" t="s">
        <v>589</v>
      </c>
      <c r="C41" s="574">
        <f>SUM(C36:C40)</f>
        <v>25992</v>
      </c>
      <c r="D41" s="574">
        <f>SUM(D36:D40)</f>
        <v>28803</v>
      </c>
      <c r="E41" s="693" t="s">
        <v>521</v>
      </c>
      <c r="F41" s="1023">
        <f aca="true" t="shared" si="6" ref="F41:K41">SUM(F36:F40)</f>
        <v>2785</v>
      </c>
      <c r="G41" s="1023">
        <f t="shared" si="6"/>
        <v>2791.64</v>
      </c>
      <c r="H41" s="1023">
        <f t="shared" si="6"/>
        <v>2786</v>
      </c>
      <c r="I41" s="1023">
        <f t="shared" si="6"/>
        <v>2832</v>
      </c>
      <c r="J41" s="1023">
        <f t="shared" si="6"/>
        <v>2870</v>
      </c>
      <c r="K41" s="1107">
        <f t="shared" si="6"/>
        <v>2677</v>
      </c>
      <c r="L41" s="1108">
        <f>SUM(L36:L40)</f>
        <v>2677</v>
      </c>
      <c r="M41" s="1108">
        <f>SUM(M36:M40)</f>
        <v>722</v>
      </c>
      <c r="N41" s="1108">
        <f>SUM(N36:N40)</f>
        <v>740</v>
      </c>
      <c r="O41" s="1115">
        <f>SUM(O36:O40)</f>
        <v>775</v>
      </c>
      <c r="P41" s="1028"/>
      <c r="Q41" s="1023">
        <f>SUM(M41:P41)</f>
        <v>2237</v>
      </c>
      <c r="R41" s="1116">
        <f>(Q41/L41)*100</f>
        <v>83.56369069854314</v>
      </c>
      <c r="S41" s="1068"/>
      <c r="T41" s="1023">
        <f>SUM(T36:T40)</f>
        <v>1462</v>
      </c>
      <c r="U41" s="889">
        <f>SUM(U36:U40)</f>
        <v>2237</v>
      </c>
      <c r="V41" s="1023">
        <v>0</v>
      </c>
    </row>
    <row r="42" spans="1:22" ht="6.75" customHeight="1" thickBot="1">
      <c r="A42" s="918"/>
      <c r="B42" s="551"/>
      <c r="C42" s="706"/>
      <c r="D42" s="706"/>
      <c r="E42" s="570"/>
      <c r="F42" s="1033"/>
      <c r="G42" s="1033"/>
      <c r="H42" s="1033"/>
      <c r="I42" s="889"/>
      <c r="J42" s="889"/>
      <c r="K42" s="1117"/>
      <c r="L42" s="1118"/>
      <c r="M42" s="1033"/>
      <c r="N42" s="982"/>
      <c r="O42" s="924"/>
      <c r="P42" s="1039"/>
      <c r="Q42" s="1119"/>
      <c r="R42" s="1116"/>
      <c r="S42" s="1068"/>
      <c r="T42" s="1033"/>
      <c r="U42" s="889"/>
      <c r="V42" s="889"/>
    </row>
    <row r="43" spans="1:22" ht="15.75" thickBot="1">
      <c r="A43" s="1041" t="s">
        <v>590</v>
      </c>
      <c r="B43" s="692" t="s">
        <v>552</v>
      </c>
      <c r="C43" s="574">
        <f>+C41-C39</f>
        <v>13520</v>
      </c>
      <c r="D43" s="574">
        <f>+D41-D39</f>
        <v>15075</v>
      </c>
      <c r="E43" s="693" t="s">
        <v>521</v>
      </c>
      <c r="F43" s="1023">
        <f>F41-F39</f>
        <v>198</v>
      </c>
      <c r="G43" s="1023">
        <f>G41-G39</f>
        <v>354.6399999999999</v>
      </c>
      <c r="H43" s="1023">
        <f>H41-H39</f>
        <v>256</v>
      </c>
      <c r="I43" s="1023">
        <v>305</v>
      </c>
      <c r="J43" s="1023">
        <f aca="true" t="shared" si="7" ref="J43:O43">J41-J39</f>
        <v>266</v>
      </c>
      <c r="K43" s="1023">
        <f t="shared" si="7"/>
        <v>0</v>
      </c>
      <c r="L43" s="1030">
        <f t="shared" si="7"/>
        <v>0</v>
      </c>
      <c r="M43" s="1030">
        <f t="shared" si="7"/>
        <v>73</v>
      </c>
      <c r="N43" s="1030">
        <f t="shared" si="7"/>
        <v>54</v>
      </c>
      <c r="O43" s="1030">
        <f t="shared" si="7"/>
        <v>75</v>
      </c>
      <c r="P43" s="1035"/>
      <c r="Q43" s="1120">
        <f t="shared" si="3"/>
        <v>202</v>
      </c>
      <c r="R43" s="986" t="e">
        <f t="shared" si="4"/>
        <v>#DIV/0!</v>
      </c>
      <c r="S43" s="1068"/>
      <c r="T43" s="1023">
        <f>T41-T39</f>
        <v>127</v>
      </c>
      <c r="U43" s="1023">
        <f>U41-U39</f>
        <v>202</v>
      </c>
      <c r="V43" s="1023">
        <f>V41-V39</f>
        <v>0</v>
      </c>
    </row>
    <row r="44" spans="1:22" ht="15.75" thickBot="1">
      <c r="A44" s="1022" t="s">
        <v>591</v>
      </c>
      <c r="B44" s="692" t="s">
        <v>592</v>
      </c>
      <c r="C44" s="574">
        <f>+C41-C35</f>
        <v>93</v>
      </c>
      <c r="D44" s="574">
        <f>+D41-D35</f>
        <v>-465</v>
      </c>
      <c r="E44" s="693" t="s">
        <v>521</v>
      </c>
      <c r="F44" s="1023">
        <f>F41-F35</f>
        <v>79</v>
      </c>
      <c r="G44" s="1023">
        <f>G41-G35</f>
        <v>146.7800000000002</v>
      </c>
      <c r="H44" s="1023">
        <f>H41-H35</f>
        <v>41</v>
      </c>
      <c r="I44" s="1023">
        <v>138</v>
      </c>
      <c r="J44" s="1023">
        <f aca="true" t="shared" si="8" ref="J44:O44">J41-J35</f>
        <v>100</v>
      </c>
      <c r="K44" s="1023">
        <f t="shared" si="8"/>
        <v>0</v>
      </c>
      <c r="L44" s="1030">
        <f t="shared" si="8"/>
        <v>0</v>
      </c>
      <c r="M44" s="1030">
        <f t="shared" si="8"/>
        <v>60</v>
      </c>
      <c r="N44" s="1030">
        <f t="shared" si="8"/>
        <v>69</v>
      </c>
      <c r="O44" s="1030">
        <f t="shared" si="8"/>
        <v>62</v>
      </c>
      <c r="P44" s="1035"/>
      <c r="Q44" s="1121">
        <f t="shared" si="3"/>
        <v>191</v>
      </c>
      <c r="R44" s="986" t="e">
        <f t="shared" si="4"/>
        <v>#DIV/0!</v>
      </c>
      <c r="S44" s="1068"/>
      <c r="T44" s="1023">
        <f>T41-T35</f>
        <v>129</v>
      </c>
      <c r="U44" s="1023">
        <f>U41-U35</f>
        <v>191</v>
      </c>
      <c r="V44" s="1023">
        <f>V41-V35</f>
        <v>0</v>
      </c>
    </row>
    <row r="45" spans="1:22" ht="15.75" thickBot="1">
      <c r="A45" s="1045" t="s">
        <v>593</v>
      </c>
      <c r="B45" s="712" t="s">
        <v>552</v>
      </c>
      <c r="C45" s="713">
        <f>+C44-C39</f>
        <v>-12379</v>
      </c>
      <c r="D45" s="713">
        <f>+D44-D39</f>
        <v>-14193</v>
      </c>
      <c r="E45" s="714" t="s">
        <v>521</v>
      </c>
      <c r="F45" s="1023">
        <f>F44-F39</f>
        <v>-2508</v>
      </c>
      <c r="G45" s="1023">
        <f>G44-G39</f>
        <v>-2290.22</v>
      </c>
      <c r="H45" s="1023">
        <f>H44-H39</f>
        <v>-2489</v>
      </c>
      <c r="I45" s="1023">
        <v>-2489</v>
      </c>
      <c r="J45" s="1023">
        <f aca="true" t="shared" si="9" ref="J45:O45">J44-J39</f>
        <v>-2504</v>
      </c>
      <c r="K45" s="1023">
        <f t="shared" si="9"/>
        <v>-2677</v>
      </c>
      <c r="L45" s="1030">
        <f t="shared" si="9"/>
        <v>-2677</v>
      </c>
      <c r="M45" s="1030">
        <f t="shared" si="9"/>
        <v>-589</v>
      </c>
      <c r="N45" s="1030">
        <f t="shared" si="9"/>
        <v>-617</v>
      </c>
      <c r="O45" s="1030">
        <f t="shared" si="9"/>
        <v>-638</v>
      </c>
      <c r="P45" s="1035"/>
      <c r="Q45" s="1122">
        <f t="shared" si="3"/>
        <v>-1844</v>
      </c>
      <c r="R45" s="891">
        <f t="shared" si="4"/>
        <v>68.88307807246919</v>
      </c>
      <c r="S45" s="1068"/>
      <c r="T45" s="1023">
        <f>T44-T39</f>
        <v>-1206</v>
      </c>
      <c r="U45" s="1023">
        <f>U44-U39</f>
        <v>-1844</v>
      </c>
      <c r="V45" s="1023">
        <f>V44-V39</f>
        <v>0</v>
      </c>
    </row>
    <row r="47" ht="12.75">
      <c r="A47" s="1053"/>
    </row>
    <row r="48" spans="1:22" ht="14.25">
      <c r="A48" s="893" t="s">
        <v>697</v>
      </c>
      <c r="Q48" s="108"/>
      <c r="R48" s="108"/>
      <c r="S48" s="108"/>
      <c r="T48" s="108"/>
      <c r="U48" s="108"/>
      <c r="V48" s="108"/>
    </row>
    <row r="49" spans="1:22" ht="14.25">
      <c r="A49" s="894" t="s">
        <v>698</v>
      </c>
      <c r="Q49" s="108"/>
      <c r="R49" s="108"/>
      <c r="S49" s="108"/>
      <c r="T49" s="108"/>
      <c r="U49" s="108"/>
      <c r="V49" s="108"/>
    </row>
    <row r="50" spans="1:22" ht="14.25">
      <c r="A50" s="1047" t="s">
        <v>699</v>
      </c>
      <c r="Q50" s="108"/>
      <c r="R50" s="108"/>
      <c r="S50" s="108"/>
      <c r="T50" s="108"/>
      <c r="U50" s="108"/>
      <c r="V50" s="108"/>
    </row>
    <row r="51" spans="1:22" ht="14.25">
      <c r="A51" s="1048"/>
      <c r="Q51" s="108"/>
      <c r="R51" s="108"/>
      <c r="S51" s="108"/>
      <c r="T51" s="108"/>
      <c r="U51" s="108"/>
      <c r="V51" s="108"/>
    </row>
    <row r="52" spans="1:22" ht="12.75">
      <c r="A52" s="1053" t="s">
        <v>704</v>
      </c>
      <c r="Q52" s="108"/>
      <c r="R52" s="108"/>
      <c r="S52" s="108"/>
      <c r="T52" s="108"/>
      <c r="U52" s="108"/>
      <c r="V52" s="108"/>
    </row>
    <row r="53" spans="1:22" ht="12.75">
      <c r="A53" s="1053"/>
      <c r="Q53" s="108"/>
      <c r="R53" s="108"/>
      <c r="S53" s="108"/>
      <c r="T53" s="108"/>
      <c r="U53" s="108"/>
      <c r="V53" s="108"/>
    </row>
    <row r="54" spans="1:22" ht="12.75">
      <c r="A54" s="1053" t="s">
        <v>705</v>
      </c>
      <c r="Q54" s="108"/>
      <c r="R54" s="108"/>
      <c r="S54" s="108"/>
      <c r="T54" s="108"/>
      <c r="U54" s="108"/>
      <c r="V54" s="108"/>
    </row>
    <row r="55" ht="12.75">
      <c r="A55" s="1053"/>
    </row>
    <row r="56" ht="12.75">
      <c r="A56" s="1053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2013-11-11T10:14:40Z</cp:lastPrinted>
  <dcterms:created xsi:type="dcterms:W3CDTF">2013-10-18T08:54:21Z</dcterms:created>
  <dcterms:modified xsi:type="dcterms:W3CDTF">2013-11-11T10:14:51Z</dcterms:modified>
  <cp:category/>
  <cp:version/>
  <cp:contentType/>
  <cp:contentStatus/>
</cp:coreProperties>
</file>