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10_2013" sheetId="1" r:id="rId1"/>
    <sheet name="Město_příjmy" sheetId="2" r:id="rId2"/>
    <sheet name="Město_výdaje " sheetId="3" r:id="rId3"/>
    <sheet name="Domovs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<sst xmlns="http://schemas.openxmlformats.org/spreadsheetml/2006/main" count="1341" uniqueCount="674">
  <si>
    <t>Kraj: Jihomoravský</t>
  </si>
  <si>
    <t>Okres: Břeclav</t>
  </si>
  <si>
    <t>Město: Břeclav</t>
  </si>
  <si>
    <t xml:space="preserve">                    Tabulka doplňujících ukazatelů za období 10/2013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</si>
  <si>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</si>
  <si>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</si>
  <si>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</si>
  <si>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</si>
  <si>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</si>
  <si>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</si>
  <si>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</si>
  <si>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</si>
  <si>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</si>
  <si>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</si>
  <si>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</si>
  <si>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</si>
  <si>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</si>
  <si>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</si>
  <si>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</si>
  <si>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</si>
  <si>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</si>
  <si>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</si>
  <si>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</si>
  <si>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</si>
  <si>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</si>
  <si>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</si>
  <si>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</si>
  <si>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</si>
  <si>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</si>
  <si>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</si>
  <si>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</si>
  <si>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</si>
  <si>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</si>
  <si>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1-10/2013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</si>
  <si>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</si>
  <si>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</si>
  <si>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</si>
  <si>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</si>
  <si>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</si>
  <si>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</si>
  <si>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</si>
  <si>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</si>
  <si>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</si>
  <si>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</si>
  <si>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</si>
  <si>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</si>
  <si>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</si>
  <si>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</si>
  <si>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</si>
  <si>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</si>
  <si>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</si>
  <si>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</si>
  <si>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</si>
  <si>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</si>
  <si>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</si>
  <si>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</si>
  <si>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</si>
  <si>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</si>
  <si>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</si>
  <si>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</si>
  <si>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</si>
  <si>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</si>
  <si>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</si>
  <si>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</si>
  <si>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</si>
  <si>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</si>
  <si>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</si>
  <si>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</si>
  <si>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</si>
  <si>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</si>
  <si>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</si>
  <si>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</si>
  <si>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</si>
  <si>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</si>
  <si>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</si>
  <si>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</si>
  <si>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</si>
  <si>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</si>
  <si>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</si>
  <si>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</si>
  <si>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</si>
  <si>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</si>
  <si>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</si>
  <si>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</si>
  <si>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</si>
  <si>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</si>
  <si>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</si>
  <si>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</si>
  <si>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</si>
  <si>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SF-kompostéry,revit. Podzámčí,Rytopeky,Včelínek</t>
  </si>
  <si>
    <t>Ost. neinv. přij. transfery ze SR - prevence kriminality</t>
  </si>
  <si>
    <t>Ostat. neinv. přij. transfery ze SR a ESF - aktiv. politika zaměst.</t>
  </si>
  <si>
    <t>Ost. neinv. přij. transf. SR-kompostéry,revit.Podzámčí,Rytopeky,Včelínek</t>
  </si>
  <si>
    <t>Neinv. řpij. transf. od krajů-Udržování čistoty cyklistických komunikací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</si>
  <si>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</si>
  <si>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</si>
  <si>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</si>
  <si>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</si>
  <si>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</si>
  <si>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</si>
  <si>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</si>
  <si>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</si>
  <si>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</si>
  <si>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</si>
  <si>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</si>
  <si>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</si>
  <si>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</si>
  <si>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</si>
  <si>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</si>
  <si>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</si>
  <si>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>Investič. přij. transf. od krajů - Family point - Budovatelská</t>
  </si>
  <si>
    <t>Investič. přij. transf. od krajů - Dětské dopravní hřiště 1. etapa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</si>
  <si>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</si>
  <si>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</si>
  <si>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</si>
  <si>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</si>
  <si>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</si>
  <si>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</si>
  <si>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</si>
  <si>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</si>
  <si>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</si>
  <si>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</si>
  <si>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</si>
  <si>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</si>
  <si>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</si>
  <si>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</si>
  <si>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</si>
  <si>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</si>
  <si>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</si>
  <si>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</si>
  <si>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</si>
  <si>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</si>
  <si>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</si>
  <si>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</si>
  <si>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</si>
  <si>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</si>
  <si>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</si>
  <si>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</si>
  <si>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</si>
  <si>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</si>
  <si>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</si>
  <si>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Neinvestič. přij. transfery ze SR - Good Governance na MěÚ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</si>
  <si>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</si>
  <si>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</si>
  <si>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</si>
  <si>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</si>
  <si>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</si>
  <si>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</si>
  <si>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</si>
  <si>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</si>
  <si>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</si>
  <si>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</si>
  <si>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</si>
  <si>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</si>
  <si>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</si>
  <si>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</si>
  <si>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</si>
  <si>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</si>
  <si>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</si>
  <si>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</si>
  <si>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</si>
  <si>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</si>
  <si>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</si>
  <si>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</si>
  <si>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</si>
  <si>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</si>
  <si>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</si>
  <si>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</si>
  <si>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</si>
  <si>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</si>
  <si>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</si>
  <si>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</si>
  <si>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</si>
  <si>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</si>
  <si>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</si>
  <si>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</si>
  <si>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</si>
  <si>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</si>
  <si>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</si>
  <si>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</si>
  <si>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</si>
  <si>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</si>
  <si>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</si>
  <si>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</si>
  <si>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krajů-EVVO-MŠ Břeclav,Hřbitovní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</si>
  <si>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</si>
  <si>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</si>
  <si>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</si>
  <si>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</si>
  <si>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</si>
  <si>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</si>
  <si>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</si>
  <si>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</si>
  <si>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</si>
  <si>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</si>
  <si>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</si>
  <si>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</si>
  <si>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</si>
  <si>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</si>
  <si>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</si>
  <si>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</si>
  <si>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</si>
  <si>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</si>
  <si>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</si>
  <si>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</si>
  <si>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</si>
  <si>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</si>
  <si>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</si>
  <si>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</si>
  <si>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</si>
  <si>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</si>
  <si>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</si>
  <si>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</si>
  <si>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</si>
  <si>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</si>
  <si>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</si>
  <si>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</si>
  <si>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</si>
  <si>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</si>
  <si>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</si>
  <si>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</si>
  <si>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</si>
  <si>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</si>
  <si>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</si>
  <si>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</si>
  <si>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</si>
  <si>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</si>
  <si>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</si>
  <si>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</si>
  <si>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</si>
  <si>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</si>
  <si>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</si>
  <si>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</si>
  <si>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</si>
  <si>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</si>
  <si>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</si>
  <si>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</si>
  <si>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</si>
  <si>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</si>
  <si>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</si>
  <si>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</si>
  <si>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</si>
  <si>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</si>
  <si>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</si>
  <si>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</si>
  <si>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</si>
  <si>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</si>
  <si>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</si>
  <si>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</si>
  <si>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</si>
  <si>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</si>
  <si>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</si>
  <si>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</si>
  <si>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</si>
  <si>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</si>
  <si>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</si>
  <si>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</si>
  <si>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</si>
  <si>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</si>
  <si>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</si>
  <si>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</si>
  <si>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</si>
  <si>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</si>
  <si>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</si>
  <si>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</si>
  <si>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</si>
  <si>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</si>
  <si>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</si>
  <si>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</si>
  <si>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</si>
  <si>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</si>
  <si>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</si>
  <si>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</si>
  <si>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</si>
  <si>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</si>
  <si>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</si>
  <si>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</si>
  <si>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</si>
  <si>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</si>
  <si>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</si>
  <si>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</si>
  <si>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</si>
  <si>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</si>
  <si>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</si>
  <si>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</si>
  <si>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</si>
  <si>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</si>
  <si>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</si>
  <si>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</si>
  <si>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</si>
  <si>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</si>
  <si>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</si>
  <si>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</si>
  <si>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</si>
  <si>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</si>
  <si>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</si>
  <si>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</si>
  <si>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</si>
  <si>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</si>
  <si>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</si>
  <si>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</si>
  <si>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</si>
  <si>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</si>
  <si>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</si>
  <si>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</si>
  <si>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</si>
  <si>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</si>
  <si>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</si>
  <si>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</si>
  <si>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</si>
  <si>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</si>
  <si>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</si>
  <si>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</si>
  <si>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</si>
  <si>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</si>
  <si>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</si>
  <si>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</si>
  <si>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</si>
  <si>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</si>
  <si>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</si>
  <si>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</si>
  <si>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</si>
  <si>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</si>
  <si>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</si>
  <si>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</si>
  <si>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</si>
  <si>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</si>
  <si>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</si>
  <si>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</si>
  <si>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</si>
  <si>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</si>
  <si>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</si>
  <si>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</si>
  <si>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</si>
  <si>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</si>
  <si>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</si>
  <si>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</si>
  <si>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</si>
  <si>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</si>
  <si>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</si>
  <si>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</si>
  <si>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</si>
  <si>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</si>
  <si>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</si>
  <si>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</si>
  <si>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</si>
  <si>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</si>
  <si>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</si>
  <si>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</si>
  <si>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</si>
  <si>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</si>
  <si>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</si>
  <si>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</si>
  <si>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</si>
  <si>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</si>
  <si>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</si>
  <si>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</si>
  <si>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</si>
  <si>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</si>
  <si>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</si>
  <si>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</si>
  <si>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</si>
  <si>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</si>
  <si>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</si>
  <si>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</si>
  <si>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</si>
  <si>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</si>
  <si>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</si>
  <si>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</si>
  <si>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</si>
  <si>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</si>
  <si>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</si>
  <si>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</si>
  <si>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</si>
  <si>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</si>
  <si>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Činnost muzeí a galerií - v 7/2013 převod rozpočtu 295 tis. na 010 OŠKMS</t>
  </si>
  <si>
    <t>Mezisoučet</t>
  </si>
  <si>
    <t>Kupkova-komunikace a chod. s odvodněním</t>
  </si>
  <si>
    <t>Pisníky-vozovka a chodníky</t>
  </si>
  <si>
    <t>Hájky-Habrova seč-přístupová komunikace</t>
  </si>
  <si>
    <t>Komunikace Fibichova</t>
  </si>
  <si>
    <t>Nákup zametacího stroje</t>
  </si>
  <si>
    <t>Cyklostezka Cukrovar-Poštorná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</si>
  <si>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</si>
  <si>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</si>
  <si>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</si>
  <si>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</si>
  <si>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</si>
  <si>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</si>
  <si>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</si>
  <si>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</si>
  <si>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</si>
  <si>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Regenerace panel. sídl. Slovácká II. etapa</t>
  </si>
  <si>
    <t>IPRM Valtická-kamerový systém</t>
  </si>
  <si>
    <t>Integr. přestupní terminál IDS JMK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</si>
  <si>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</si>
  <si>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</si>
  <si>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</si>
  <si>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</si>
  <si>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MŠ Osvobození-zateplení, otvor. výplně</t>
  </si>
  <si>
    <t>MŠ Okružní-stav.úpravy, zateplení</t>
  </si>
  <si>
    <t>ZŠ Kupkova - zateplení</t>
  </si>
  <si>
    <t>ZŠ J. Noháče - zateplení, vým. otvor. výplní</t>
  </si>
  <si>
    <t xml:space="preserve">Kino Koruna - vzduchotechnika </t>
  </si>
  <si>
    <t>Skatepark Na Valtické</t>
  </si>
  <si>
    <t>Dětské dopravní hřiště - 1. etapa</t>
  </si>
  <si>
    <t>Rek. obj. Kupkova-zázemí tech. služeb</t>
  </si>
  <si>
    <t>Bezbariérový přístup Dům školství</t>
  </si>
  <si>
    <t>Smuteční obřadní síně-projektová dokumentace</t>
  </si>
  <si>
    <t>IOP-územní plán</t>
  </si>
  <si>
    <t>Využívání a zneškodňování ost. odpadů-Třídění bioodpadu-kompostéry I.et.</t>
  </si>
  <si>
    <t>Podpora proj. Family Point-místo k setkání rodin-Budovatelská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</si>
  <si>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</si>
  <si>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</si>
  <si>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</si>
  <si>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Udržování čistoty cyklistických komunikací</t>
  </si>
  <si>
    <t>Prevence kriminality - Zabezpečení sociál. vyloučené lokality</t>
  </si>
  <si>
    <t>Prev. kriminality-Bezpeč. Břeclav-Měst. kamer. dohlížecí systém</t>
  </si>
  <si>
    <t>Prev. kriminality-Bezpeč. Břeclav-Měst. kamer. dohlíž. systém-přístroje,zař.</t>
  </si>
  <si>
    <t>Domov seniorů  Břeclav - osazení termostatických ventilů</t>
  </si>
  <si>
    <t>Domov seniorů Břeclav - bezbariérový vstup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</si>
  <si>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</si>
  <si>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</si>
  <si>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</si>
  <si>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</si>
  <si>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</si>
  <si>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</si>
  <si>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</si>
  <si>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</si>
  <si>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</si>
  <si>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</si>
  <si>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</si>
  <si>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</si>
  <si>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</si>
  <si>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</si>
  <si>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</si>
  <si>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</si>
  <si>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</si>
  <si>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</si>
  <si>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</si>
  <si>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</si>
  <si>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</si>
  <si>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</si>
  <si>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</si>
  <si>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</si>
  <si>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</si>
  <si>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</si>
  <si>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</si>
  <si>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</si>
  <si>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</si>
  <si>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</si>
  <si>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</si>
  <si>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</si>
  <si>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</si>
  <si>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</si>
  <si>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</si>
  <si>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</si>
  <si>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</si>
  <si>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</si>
  <si>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</si>
  <si>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</si>
  <si>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</si>
  <si>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</si>
  <si>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</si>
  <si>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</si>
  <si>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</si>
  <si>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</si>
  <si>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</si>
  <si>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</si>
  <si>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</si>
  <si>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</si>
  <si>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</si>
  <si>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</si>
  <si>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</si>
  <si>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</si>
  <si>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</si>
  <si>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</si>
  <si>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</si>
  <si>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</si>
  <si>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</si>
  <si>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</si>
  <si>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</si>
  <si>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</si>
  <si>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</si>
  <si>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</si>
  <si>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</si>
  <si>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</si>
  <si>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</si>
  <si>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</si>
  <si>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</si>
  <si>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</si>
  <si>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</si>
  <si>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</si>
  <si>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</si>
  <si>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</si>
  <si>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</si>
  <si>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</si>
  <si>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</si>
  <si>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 xml:space="preserve">                                                                                                                                                                                   </t>
  </si>
  <si>
    <t>Pasport vybraných rozvahových a výsledovkových položek - HODNOCENÍ - rok 2013</t>
  </si>
  <si>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</si>
  <si>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</si>
  <si>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</si>
  <si>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</si>
  <si>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měsíc</t>
  </si>
  <si>
    <t>r.2013</t>
  </si>
  <si>
    <t>Plnění</t>
  </si>
  <si>
    <t>řádek</t>
  </si>
  <si>
    <t>r.2000</t>
  </si>
  <si>
    <t>r.2001</t>
  </si>
  <si>
    <t>účet</t>
  </si>
  <si>
    <t>r.2009</t>
  </si>
  <si>
    <t>r.2010</t>
  </si>
  <si>
    <t>R.2011</t>
  </si>
  <si>
    <t>R.2012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</si>
  <si>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</si>
  <si>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</si>
  <si>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</si>
  <si>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</si>
  <si>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</si>
  <si>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</si>
  <si>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</si>
  <si>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</si>
  <si>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</si>
  <si>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</si>
  <si>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</si>
  <si>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</si>
  <si>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</si>
  <si>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</si>
  <si>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</si>
  <si>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</si>
  <si>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</si>
  <si>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</si>
  <si>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</si>
  <si>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</si>
  <si>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</si>
  <si>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</si>
  <si>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</si>
  <si>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</si>
  <si>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</si>
  <si>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</si>
  <si>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</si>
  <si>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</si>
  <si>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</si>
  <si>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</si>
  <si>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</si>
  <si>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</si>
  <si>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</si>
  <si>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</si>
  <si>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</si>
  <si>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</si>
  <si>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</si>
  <si>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</si>
  <si>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</si>
  <si>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</si>
  <si>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</si>
  <si>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</si>
  <si>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</si>
  <si>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</si>
  <si>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</si>
  <si>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</si>
  <si>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</si>
  <si>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</si>
  <si>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</si>
  <si>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</si>
  <si>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</si>
  <si>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</si>
  <si>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</si>
  <si>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</si>
  <si>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</si>
  <si>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</si>
  <si>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</si>
  <si>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</si>
  <si>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</si>
  <si>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</si>
  <si>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</si>
  <si>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</si>
  <si>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</si>
  <si>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</si>
  <si>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</si>
  <si>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</si>
  <si>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</si>
  <si>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</si>
  <si>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</si>
  <si>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</si>
  <si>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</si>
  <si>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</si>
  <si>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</si>
  <si>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</si>
  <si>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</si>
  <si>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</si>
  <si>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</si>
  <si>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</si>
  <si>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</si>
  <si>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</si>
  <si>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</si>
  <si>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</si>
  <si>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</si>
  <si>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</si>
  <si>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</si>
  <si>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</si>
  <si>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</si>
  <si>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</si>
  <si>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</si>
  <si>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2013</t>
  </si>
  <si>
    <t xml:space="preserve"> Tereza Břeclav</t>
  </si>
  <si>
    <t>Dlouhodobý hm.majetek (DHIM)</t>
  </si>
  <si>
    <t>Oprávky k DHIM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</si>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</sst>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#,##0.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66" fillId="23" borderId="6" applyNumberFormat="0" applyFont="0" applyAlignment="0" applyProtection="0"/>
    <xf numFmtId="9" fontId="66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9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" fontId="6" fillId="34" borderId="35" xfId="46" applyNumberFormat="1" applyFont="1" applyFill="1" applyBorder="1" applyAlignment="1">
      <alignment horizontal="center"/>
      <protection/>
    </xf>
    <xf numFmtId="49" fontId="6" fillId="34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 horizontal="right"/>
    </xf>
    <xf numFmtId="0" fontId="9" fillId="0" borderId="38" xfId="46" applyFont="1" applyFill="1" applyBorder="1" applyAlignment="1">
      <alignment horizontal="right"/>
      <protection/>
    </xf>
    <xf numFmtId="0" fontId="9" fillId="0" borderId="38" xfId="46" applyFont="1" applyFill="1" applyBorder="1" applyAlignment="1">
      <alignment horizontal="lef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35" borderId="38" xfId="0" applyNumberFormat="1" applyFont="1" applyFill="1" applyBorder="1" applyAlignment="1" applyProtection="1">
      <alignment horizontal="right"/>
      <protection locked="0"/>
    </xf>
    <xf numFmtId="4" fontId="9" fillId="36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6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37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/>
    </xf>
    <xf numFmtId="4" fontId="6" fillId="36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4" fontId="6" fillId="36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83" fillId="0" borderId="0" xfId="0" applyNumberFormat="1" applyFont="1" applyFill="1" applyBorder="1" applyAlignment="1">
      <alignment/>
    </xf>
    <xf numFmtId="4" fontId="8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35" borderId="38" xfId="0" applyNumberFormat="1" applyFont="1" applyFill="1" applyBorder="1" applyAlignment="1">
      <alignment/>
    </xf>
    <xf numFmtId="4" fontId="16" fillId="36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9" fillId="36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4" fontId="83" fillId="0" borderId="0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16" fillId="37" borderId="38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6" fillId="37" borderId="4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0" fillId="0" borderId="0" xfId="0" applyAlignment="1" applyProtection="1">
      <alignment/>
      <protection hidden="1"/>
    </xf>
    <xf numFmtId="0" fontId="37" fillId="3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40" fillId="0" borderId="0" xfId="0" applyFont="1" applyAlignment="1" applyProtection="1">
      <alignment/>
      <protection hidden="1"/>
    </xf>
    <xf numFmtId="0" fontId="40" fillId="38" borderId="51" xfId="0" applyFont="1" applyFill="1" applyBorder="1" applyAlignment="1" applyProtection="1">
      <alignment/>
      <protection hidden="1"/>
    </xf>
    <xf numFmtId="0" fontId="41" fillId="38" borderId="52" xfId="0" applyFont="1" applyFill="1" applyBorder="1" applyAlignment="1" applyProtection="1">
      <alignment/>
      <protection hidden="1"/>
    </xf>
    <xf numFmtId="0" fontId="42" fillId="38" borderId="52" xfId="0" applyFont="1" applyFill="1" applyBorder="1" applyAlignment="1" applyProtection="1">
      <alignment horizontal="center"/>
      <protection hidden="1"/>
    </xf>
    <xf numFmtId="0" fontId="41" fillId="38" borderId="53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0" fillId="38" borderId="54" xfId="0" applyFill="1" applyBorder="1" applyAlignment="1" applyProtection="1">
      <alignment/>
      <protection hidden="1"/>
    </xf>
    <xf numFmtId="0" fontId="0" fillId="38" borderId="55" xfId="0" applyFill="1" applyBorder="1" applyAlignment="1" applyProtection="1">
      <alignment/>
      <protection hidden="1"/>
    </xf>
    <xf numFmtId="0" fontId="0" fillId="38" borderId="55" xfId="0" applyFill="1" applyBorder="1" applyAlignment="1" applyProtection="1">
      <alignment horizontal="center"/>
      <protection hidden="1"/>
    </xf>
    <xf numFmtId="0" fontId="0" fillId="38" borderId="34" xfId="0" applyFill="1" applyBorder="1" applyAlignment="1" applyProtection="1">
      <alignment/>
      <protection hidden="1"/>
    </xf>
    <xf numFmtId="0" fontId="38" fillId="39" borderId="55" xfId="0" applyFont="1" applyFill="1" applyBorder="1" applyAlignment="1" applyProtection="1">
      <alignment horizontal="center"/>
      <protection hidden="1"/>
    </xf>
    <xf numFmtId="0" fontId="0" fillId="38" borderId="56" xfId="0" applyFill="1" applyBorder="1" applyAlignment="1" applyProtection="1">
      <alignment/>
      <protection hidden="1"/>
    </xf>
    <xf numFmtId="0" fontId="0" fillId="38" borderId="57" xfId="0" applyFill="1" applyBorder="1" applyAlignment="1" applyProtection="1">
      <alignment/>
      <protection hidden="1"/>
    </xf>
    <xf numFmtId="0" fontId="9" fillId="38" borderId="57" xfId="0" applyFont="1" applyFill="1" applyBorder="1" applyAlignment="1" applyProtection="1">
      <alignment horizontal="center"/>
      <protection hidden="1"/>
    </xf>
    <xf numFmtId="0" fontId="38" fillId="40" borderId="55" xfId="0" applyFont="1" applyFill="1" applyBorder="1" applyAlignment="1" applyProtection="1">
      <alignment horizontal="center"/>
      <protection hidden="1"/>
    </xf>
    <xf numFmtId="0" fontId="43" fillId="40" borderId="58" xfId="0" applyFont="1" applyFill="1" applyBorder="1" applyAlignment="1" applyProtection="1">
      <alignment horizontal="center"/>
      <protection hidden="1"/>
    </xf>
    <xf numFmtId="0" fontId="44" fillId="38" borderId="59" xfId="0" applyFont="1" applyFill="1" applyBorder="1" applyAlignment="1" applyProtection="1">
      <alignment horizontal="center"/>
      <protection hidden="1"/>
    </xf>
    <xf numFmtId="0" fontId="0" fillId="38" borderId="60" xfId="0" applyFill="1" applyBorder="1" applyAlignment="1" applyProtection="1">
      <alignment horizontal="center"/>
      <protection hidden="1"/>
    </xf>
    <xf numFmtId="0" fontId="0" fillId="38" borderId="61" xfId="0" applyFill="1" applyBorder="1" applyAlignment="1" applyProtection="1">
      <alignment horizontal="center"/>
      <protection hidden="1"/>
    </xf>
    <xf numFmtId="0" fontId="0" fillId="38" borderId="62" xfId="0" applyFill="1" applyBorder="1" applyAlignment="1" applyProtection="1">
      <alignment horizontal="center"/>
      <protection hidden="1"/>
    </xf>
    <xf numFmtId="0" fontId="38" fillId="39" borderId="60" xfId="0" applyFont="1" applyFill="1" applyBorder="1" applyAlignment="1" applyProtection="1">
      <alignment horizontal="center"/>
      <protection hidden="1"/>
    </xf>
    <xf numFmtId="0" fontId="0" fillId="38" borderId="63" xfId="0" applyFill="1" applyBorder="1" applyAlignment="1" applyProtection="1">
      <alignment horizontal="center"/>
      <protection hidden="1"/>
    </xf>
    <xf numFmtId="0" fontId="38" fillId="40" borderId="60" xfId="0" applyFont="1" applyFill="1" applyBorder="1" applyAlignment="1" applyProtection="1">
      <alignment horizontal="center"/>
      <protection hidden="1"/>
    </xf>
    <xf numFmtId="0" fontId="43" fillId="40" borderId="61" xfId="0" applyFont="1" applyFill="1" applyBorder="1" applyAlignment="1" applyProtection="1">
      <alignment horizontal="center"/>
      <protection hidden="1"/>
    </xf>
    <xf numFmtId="0" fontId="44" fillId="0" borderId="29" xfId="0" applyFont="1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165" fontId="0" fillId="0" borderId="64" xfId="0" applyNumberFormat="1" applyBorder="1" applyAlignment="1" applyProtection="1">
      <alignment/>
      <protection hidden="1"/>
    </xf>
    <xf numFmtId="165" fontId="0" fillId="0" borderId="25" xfId="0" applyNumberFormat="1" applyFill="1" applyBorder="1" applyAlignment="1" applyProtection="1">
      <alignment horizontal="center"/>
      <protection hidden="1"/>
    </xf>
    <xf numFmtId="165" fontId="0" fillId="0" borderId="55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65" fontId="0" fillId="0" borderId="65" xfId="0" applyNumberFormat="1" applyFill="1" applyBorder="1" applyAlignment="1" applyProtection="1">
      <alignment/>
      <protection locked="0"/>
    </xf>
    <xf numFmtId="165" fontId="38" fillId="39" borderId="64" xfId="0" applyNumberFormat="1" applyFont="1" applyFill="1" applyBorder="1" applyAlignment="1" applyProtection="1">
      <alignment horizontal="right"/>
      <protection locked="0"/>
    </xf>
    <xf numFmtId="165" fontId="0" fillId="0" borderId="66" xfId="0" applyNumberFormat="1" applyBorder="1" applyAlignment="1" applyProtection="1">
      <alignment/>
      <protection locked="0"/>
    </xf>
    <xf numFmtId="165" fontId="0" fillId="0" borderId="67" xfId="0" applyNumberFormat="1" applyBorder="1" applyAlignment="1" applyProtection="1">
      <alignment/>
      <protection locked="0"/>
    </xf>
    <xf numFmtId="165" fontId="0" fillId="0" borderId="41" xfId="0" applyNumberFormat="1" applyBorder="1" applyAlignment="1" applyProtection="1">
      <alignment/>
      <protection locked="0"/>
    </xf>
    <xf numFmtId="165" fontId="0" fillId="0" borderId="41" xfId="0" applyNumberFormat="1" applyFill="1" applyBorder="1" applyAlignment="1" applyProtection="1">
      <alignment/>
      <protection locked="0"/>
    </xf>
    <xf numFmtId="165" fontId="38" fillId="40" borderId="65" xfId="0" applyNumberFormat="1" applyFont="1" applyFill="1" applyBorder="1" applyAlignment="1" applyProtection="1">
      <alignment horizontal="center"/>
      <protection hidden="1"/>
    </xf>
    <xf numFmtId="3" fontId="38" fillId="40" borderId="68" xfId="0" applyNumberFormat="1" applyFont="1" applyFill="1" applyBorder="1" applyAlignment="1" applyProtection="1">
      <alignment horizontal="center"/>
      <protection hidden="1"/>
    </xf>
    <xf numFmtId="0" fontId="44" fillId="0" borderId="69" xfId="0" applyFont="1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165" fontId="0" fillId="0" borderId="70" xfId="0" applyNumberFormat="1" applyBorder="1" applyAlignment="1" applyProtection="1">
      <alignment/>
      <protection hidden="1"/>
    </xf>
    <xf numFmtId="165" fontId="0" fillId="0" borderId="71" xfId="0" applyNumberFormat="1" applyBorder="1" applyAlignment="1" applyProtection="1">
      <alignment horizontal="center"/>
      <protection hidden="1"/>
    </xf>
    <xf numFmtId="165" fontId="0" fillId="0" borderId="71" xfId="0" applyNumberFormat="1" applyBorder="1" applyAlignment="1" applyProtection="1">
      <alignment/>
      <protection hidden="1"/>
    </xf>
    <xf numFmtId="165" fontId="0" fillId="0" borderId="70" xfId="0" applyNumberFormat="1" applyBorder="1" applyAlignment="1" applyProtection="1">
      <alignment/>
      <protection locked="0"/>
    </xf>
    <xf numFmtId="165" fontId="38" fillId="39" borderId="70" xfId="0" applyNumberFormat="1" applyFont="1" applyFill="1" applyBorder="1" applyAlignment="1" applyProtection="1">
      <alignment horizontal="right"/>
      <protection locked="0"/>
    </xf>
    <xf numFmtId="165" fontId="0" fillId="0" borderId="71" xfId="0" applyNumberFormat="1" applyBorder="1" applyAlignment="1" applyProtection="1">
      <alignment/>
      <protection locked="0"/>
    </xf>
    <xf numFmtId="165" fontId="0" fillId="0" borderId="63" xfId="0" applyNumberFormat="1" applyBorder="1" applyAlignment="1" applyProtection="1">
      <alignment/>
      <protection locked="0"/>
    </xf>
    <xf numFmtId="165" fontId="0" fillId="0" borderId="72" xfId="0" applyNumberFormat="1" applyBorder="1" applyAlignment="1" applyProtection="1">
      <alignment/>
      <protection locked="0"/>
    </xf>
    <xf numFmtId="165" fontId="38" fillId="40" borderId="70" xfId="0" applyNumberFormat="1" applyFont="1" applyFill="1" applyBorder="1" applyAlignment="1" applyProtection="1">
      <alignment/>
      <protection hidden="1"/>
    </xf>
    <xf numFmtId="3" fontId="38" fillId="40" borderId="73" xfId="0" applyNumberFormat="1" applyFont="1" applyFill="1" applyBorder="1" applyAlignment="1" applyProtection="1">
      <alignment horizontal="center"/>
      <protection hidden="1"/>
    </xf>
    <xf numFmtId="0" fontId="44" fillId="0" borderId="28" xfId="0" applyFont="1" applyBorder="1" applyAlignment="1" applyProtection="1">
      <alignment/>
      <protection hidden="1"/>
    </xf>
    <xf numFmtId="0" fontId="0" fillId="0" borderId="64" xfId="0" applyBorder="1" applyAlignment="1" applyProtection="1">
      <alignment horizontal="center"/>
      <protection hidden="1"/>
    </xf>
    <xf numFmtId="3" fontId="0" fillId="0" borderId="64" xfId="0" applyNumberFormat="1" applyBorder="1" applyAlignment="1" applyProtection="1">
      <alignment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0" fontId="0" fillId="0" borderId="74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74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3" fontId="38" fillId="39" borderId="64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75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3" fontId="38" fillId="40" borderId="74" xfId="0" applyNumberFormat="1" applyFont="1" applyFill="1" applyBorder="1" applyAlignment="1" applyProtection="1">
      <alignment horizontal="center"/>
      <protection hidden="1"/>
    </xf>
    <xf numFmtId="3" fontId="38" fillId="40" borderId="76" xfId="0" applyNumberFormat="1" applyFont="1" applyFill="1" applyBorder="1" applyAlignment="1" applyProtection="1">
      <alignment horizontal="center"/>
      <protection hidden="1"/>
    </xf>
    <xf numFmtId="0" fontId="44" fillId="0" borderId="77" xfId="0" applyFont="1" applyBorder="1" applyAlignment="1" applyProtection="1">
      <alignment/>
      <protection hidden="1"/>
    </xf>
    <xf numFmtId="0" fontId="0" fillId="0" borderId="74" xfId="0" applyBorder="1" applyAlignment="1" applyProtection="1">
      <alignment horizontal="center"/>
      <protection hidden="1"/>
    </xf>
    <xf numFmtId="3" fontId="0" fillId="0" borderId="74" xfId="0" applyNumberFormat="1" applyBorder="1" applyAlignment="1" applyProtection="1">
      <alignment/>
      <protection hidden="1"/>
    </xf>
    <xf numFmtId="3" fontId="38" fillId="39" borderId="74" xfId="0" applyNumberFormat="1" applyFont="1" applyFill="1" applyBorder="1" applyAlignment="1" applyProtection="1">
      <alignment horizontal="center"/>
      <protection locked="0"/>
    </xf>
    <xf numFmtId="3" fontId="0" fillId="0" borderId="78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79" xfId="0" applyNumberFormat="1" applyBorder="1" applyAlignment="1" applyProtection="1">
      <alignment/>
      <protection locked="0"/>
    </xf>
    <xf numFmtId="0" fontId="0" fillId="0" borderId="80" xfId="0" applyBorder="1" applyAlignment="1" applyProtection="1">
      <alignment horizontal="center"/>
      <protection hidden="1"/>
    </xf>
    <xf numFmtId="3" fontId="0" fillId="0" borderId="80" xfId="0" applyNumberFormat="1" applyBorder="1" applyAlignment="1" applyProtection="1">
      <alignment/>
      <protection hidden="1"/>
    </xf>
    <xf numFmtId="3" fontId="0" fillId="0" borderId="25" xfId="0" applyNumberFormat="1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65" xfId="0" applyFill="1" applyBorder="1" applyAlignment="1" applyProtection="1">
      <alignment/>
      <protection locked="0"/>
    </xf>
    <xf numFmtId="3" fontId="38" fillId="39" borderId="8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3" fontId="0" fillId="0" borderId="67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3" fontId="38" fillId="40" borderId="65" xfId="0" applyNumberFormat="1" applyFont="1" applyFill="1" applyBorder="1" applyAlignment="1" applyProtection="1">
      <alignment horizontal="center"/>
      <protection hidden="1"/>
    </xf>
    <xf numFmtId="0" fontId="44" fillId="40" borderId="51" xfId="0" applyFont="1" applyFill="1" applyBorder="1" applyAlignment="1" applyProtection="1">
      <alignment/>
      <protection hidden="1"/>
    </xf>
    <xf numFmtId="0" fontId="38" fillId="40" borderId="81" xfId="0" applyFont="1" applyFill="1" applyBorder="1" applyAlignment="1" applyProtection="1">
      <alignment horizontal="center"/>
      <protection hidden="1"/>
    </xf>
    <xf numFmtId="3" fontId="38" fillId="40" borderId="81" xfId="0" applyNumberFormat="1" applyFont="1" applyFill="1" applyBorder="1" applyAlignment="1" applyProtection="1">
      <alignment/>
      <protection hidden="1"/>
    </xf>
    <xf numFmtId="3" fontId="38" fillId="40" borderId="52" xfId="0" applyNumberFormat="1" applyFont="1" applyFill="1" applyBorder="1" applyAlignment="1" applyProtection="1">
      <alignment horizontal="center"/>
      <protection hidden="1"/>
    </xf>
    <xf numFmtId="0" fontId="38" fillId="40" borderId="81" xfId="0" applyFont="1" applyFill="1" applyBorder="1" applyAlignment="1" applyProtection="1">
      <alignment/>
      <protection hidden="1"/>
    </xf>
    <xf numFmtId="0" fontId="38" fillId="40" borderId="52" xfId="0" applyFont="1" applyFill="1" applyBorder="1" applyAlignment="1" applyProtection="1">
      <alignment/>
      <protection hidden="1"/>
    </xf>
    <xf numFmtId="3" fontId="38" fillId="41" borderId="81" xfId="0" applyNumberFormat="1" applyFont="1" applyFill="1" applyBorder="1" applyAlignment="1" applyProtection="1">
      <alignment horizontal="center"/>
      <protection hidden="1"/>
    </xf>
    <xf numFmtId="3" fontId="38" fillId="40" borderId="52" xfId="0" applyNumberFormat="1" applyFont="1" applyFill="1" applyBorder="1" applyAlignment="1" applyProtection="1">
      <alignment/>
      <protection locked="0"/>
    </xf>
    <xf numFmtId="3" fontId="38" fillId="40" borderId="82" xfId="0" applyNumberFormat="1" applyFont="1" applyFill="1" applyBorder="1" applyAlignment="1" applyProtection="1">
      <alignment/>
      <protection locked="0"/>
    </xf>
    <xf numFmtId="3" fontId="38" fillId="40" borderId="83" xfId="0" applyNumberFormat="1" applyFont="1" applyFill="1" applyBorder="1" applyAlignment="1" applyProtection="1">
      <alignment/>
      <protection locked="0"/>
    </xf>
    <xf numFmtId="0" fontId="38" fillId="40" borderId="82" xfId="0" applyFont="1" applyFill="1" applyBorder="1" applyAlignment="1" applyProtection="1">
      <alignment/>
      <protection locked="0"/>
    </xf>
    <xf numFmtId="0" fontId="38" fillId="40" borderId="52" xfId="0" applyFont="1" applyFill="1" applyBorder="1" applyAlignment="1" applyProtection="1">
      <alignment/>
      <protection locked="0"/>
    </xf>
    <xf numFmtId="3" fontId="38" fillId="40" borderId="81" xfId="0" applyNumberFormat="1" applyFont="1" applyFill="1" applyBorder="1" applyAlignment="1" applyProtection="1">
      <alignment horizontal="center"/>
      <protection hidden="1"/>
    </xf>
    <xf numFmtId="3" fontId="38" fillId="40" borderId="53" xfId="0" applyNumberFormat="1" applyFont="1" applyFill="1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3" fontId="0" fillId="0" borderId="70" xfId="0" applyNumberFormat="1" applyBorder="1" applyAlignment="1" applyProtection="1">
      <alignment/>
      <protection hidden="1"/>
    </xf>
    <xf numFmtId="3" fontId="0" fillId="0" borderId="69" xfId="0" applyNumberFormat="1" applyBorder="1" applyAlignment="1" applyProtection="1">
      <alignment horizontal="center"/>
      <protection hidden="1"/>
    </xf>
    <xf numFmtId="0" fontId="0" fillId="0" borderId="80" xfId="0" applyBorder="1" applyAlignment="1" applyProtection="1">
      <alignment/>
      <protection locked="0"/>
    </xf>
    <xf numFmtId="3" fontId="38" fillId="39" borderId="70" xfId="0" applyNumberFormat="1" applyFont="1" applyFill="1" applyBorder="1" applyAlignment="1" applyProtection="1">
      <alignment horizontal="center"/>
      <protection locked="0"/>
    </xf>
    <xf numFmtId="3" fontId="38" fillId="40" borderId="80" xfId="0" applyNumberFormat="1" applyFont="1" applyFill="1" applyBorder="1" applyAlignment="1" applyProtection="1">
      <alignment horizontal="center"/>
      <protection hidden="1"/>
    </xf>
    <xf numFmtId="3" fontId="38" fillId="40" borderId="84" xfId="0" applyNumberFormat="1" applyFont="1" applyFill="1" applyBorder="1" applyAlignment="1" applyProtection="1">
      <alignment horizontal="center"/>
      <protection hidden="1"/>
    </xf>
    <xf numFmtId="0" fontId="44" fillId="0" borderId="64" xfId="0" applyFont="1" applyBorder="1" applyAlignment="1" applyProtection="1">
      <alignment/>
      <protection hidden="1"/>
    </xf>
    <xf numFmtId="3" fontId="45" fillId="0" borderId="64" xfId="0" applyNumberFormat="1" applyFont="1" applyFill="1" applyBorder="1" applyAlignment="1" applyProtection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locked="0"/>
    </xf>
    <xf numFmtId="3" fontId="46" fillId="39" borderId="64" xfId="0" applyNumberFormat="1" applyFont="1" applyFill="1" applyBorder="1" applyAlignment="1" applyProtection="1">
      <alignment/>
      <protection locked="0"/>
    </xf>
    <xf numFmtId="1" fontId="0" fillId="0" borderId="57" xfId="0" applyNumberFormat="1" applyBorder="1" applyAlignment="1" applyProtection="1">
      <alignment/>
      <protection locked="0"/>
    </xf>
    <xf numFmtId="1" fontId="0" fillId="0" borderId="86" xfId="0" applyNumberFormat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3" fontId="46" fillId="40" borderId="56" xfId="0" applyNumberFormat="1" applyFont="1" applyFill="1" applyBorder="1" applyAlignment="1" applyProtection="1">
      <alignment/>
      <protection hidden="1"/>
    </xf>
    <xf numFmtId="166" fontId="46" fillId="40" borderId="85" xfId="0" applyNumberFormat="1" applyFont="1" applyFill="1" applyBorder="1" applyAlignment="1" applyProtection="1">
      <alignment horizontal="right"/>
      <protection hidden="1"/>
    </xf>
    <xf numFmtId="3" fontId="45" fillId="0" borderId="74" xfId="0" applyNumberFormat="1" applyFont="1" applyFill="1" applyBorder="1" applyAlignment="1" applyProtection="1">
      <alignment horizontal="center"/>
      <protection hidden="1"/>
    </xf>
    <xf numFmtId="3" fontId="46" fillId="39" borderId="74" xfId="0" applyNumberFormat="1" applyFon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3" fontId="46" fillId="40" borderId="77" xfId="0" applyNumberFormat="1" applyFont="1" applyFill="1" applyBorder="1" applyAlignment="1" applyProtection="1">
      <alignment/>
      <protection hidden="1"/>
    </xf>
    <xf numFmtId="166" fontId="46" fillId="40" borderId="74" xfId="0" applyNumberFormat="1" applyFont="1" applyFill="1" applyBorder="1" applyAlignment="1" applyProtection="1">
      <alignment horizontal="right"/>
      <protection hidden="1"/>
    </xf>
    <xf numFmtId="3" fontId="45" fillId="0" borderId="70" xfId="0" applyNumberFormat="1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/>
      <protection hidden="1"/>
    </xf>
    <xf numFmtId="0" fontId="0" fillId="0" borderId="60" xfId="0" applyFill="1" applyBorder="1" applyAlignment="1" applyProtection="1">
      <alignment/>
      <protection locked="0"/>
    </xf>
    <xf numFmtId="3" fontId="46" fillId="39" borderId="70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41" xfId="0" applyNumberFormat="1" applyBorder="1" applyAlignment="1" applyProtection="1">
      <alignment/>
      <protection locked="0"/>
    </xf>
    <xf numFmtId="3" fontId="46" fillId="40" borderId="59" xfId="0" applyNumberFormat="1" applyFont="1" applyFill="1" applyBorder="1" applyAlignment="1" applyProtection="1">
      <alignment/>
      <protection hidden="1"/>
    </xf>
    <xf numFmtId="166" fontId="46" fillId="40" borderId="70" xfId="0" applyNumberFormat="1" applyFont="1" applyFill="1" applyBorder="1" applyAlignment="1" applyProtection="1">
      <alignment horizontal="right"/>
      <protection hidden="1"/>
    </xf>
    <xf numFmtId="3" fontId="45" fillId="0" borderId="64" xfId="0" applyNumberFormat="1" applyFont="1" applyFill="1" applyBorder="1" applyAlignment="1" applyProtection="1">
      <alignment horizontal="center"/>
      <protection hidden="1"/>
    </xf>
    <xf numFmtId="0" fontId="0" fillId="0" borderId="87" xfId="0" applyBorder="1" applyAlignment="1" applyProtection="1">
      <alignment/>
      <protection hidden="1"/>
    </xf>
    <xf numFmtId="3" fontId="46" fillId="39" borderId="28" xfId="0" applyNumberFormat="1" applyFont="1" applyFill="1" applyBorder="1" applyAlignment="1" applyProtection="1">
      <alignment/>
      <protection locked="0"/>
    </xf>
    <xf numFmtId="1" fontId="0" fillId="0" borderId="66" xfId="0" applyNumberForma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3" fontId="46" fillId="40" borderId="27" xfId="0" applyNumberFormat="1" applyFont="1" applyFill="1" applyBorder="1" applyAlignment="1" applyProtection="1">
      <alignment/>
      <protection hidden="1"/>
    </xf>
    <xf numFmtId="166" fontId="46" fillId="40" borderId="64" xfId="0" applyNumberFormat="1" applyFont="1" applyFill="1" applyBorder="1" applyAlignment="1" applyProtection="1">
      <alignment horizontal="right"/>
      <protection hidden="1"/>
    </xf>
    <xf numFmtId="3" fontId="45" fillId="0" borderId="74" xfId="0" applyNumberFormat="1" applyFont="1" applyFill="1" applyBorder="1" applyAlignment="1" applyProtection="1">
      <alignment horizontal="center"/>
      <protection hidden="1"/>
    </xf>
    <xf numFmtId="0" fontId="0" fillId="0" borderId="76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locked="0"/>
    </xf>
    <xf numFmtId="3" fontId="46" fillId="39" borderId="77" xfId="0" applyNumberFormat="1" applyFont="1" applyFill="1" applyBorder="1" applyAlignment="1" applyProtection="1">
      <alignment/>
      <protection locked="0"/>
    </xf>
    <xf numFmtId="1" fontId="0" fillId="0" borderId="77" xfId="0" applyNumberForma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47" fillId="0" borderId="74" xfId="0" applyFont="1" applyBorder="1" applyAlignment="1" applyProtection="1">
      <alignment horizontal="center"/>
      <protection hidden="1"/>
    </xf>
    <xf numFmtId="3" fontId="45" fillId="0" borderId="80" xfId="0" applyNumberFormat="1" applyFont="1" applyFill="1" applyBorder="1" applyAlignment="1" applyProtection="1">
      <alignment horizontal="center"/>
      <protection hidden="1"/>
    </xf>
    <xf numFmtId="0" fontId="0" fillId="0" borderId="61" xfId="0" applyFill="1" applyBorder="1" applyAlignment="1" applyProtection="1">
      <alignment/>
      <protection hidden="1"/>
    </xf>
    <xf numFmtId="0" fontId="0" fillId="0" borderId="62" xfId="0" applyFill="1" applyBorder="1" applyAlignment="1" applyProtection="1">
      <alignment/>
      <protection hidden="1"/>
    </xf>
    <xf numFmtId="3" fontId="46" fillId="39" borderId="89" xfId="0" applyNumberFormat="1" applyFont="1" applyFill="1" applyBorder="1" applyAlignment="1" applyProtection="1">
      <alignment/>
      <protection locked="0"/>
    </xf>
    <xf numFmtId="1" fontId="0" fillId="0" borderId="59" xfId="0" applyNumberForma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3" fontId="46" fillId="40" borderId="90" xfId="0" applyNumberFormat="1" applyFont="1" applyFill="1" applyBorder="1" applyAlignment="1" applyProtection="1">
      <alignment/>
      <protection hidden="1"/>
    </xf>
    <xf numFmtId="166" fontId="46" fillId="40" borderId="80" xfId="0" applyNumberFormat="1" applyFont="1" applyFill="1" applyBorder="1" applyAlignment="1" applyProtection="1">
      <alignment horizontal="right"/>
      <protection hidden="1"/>
    </xf>
    <xf numFmtId="0" fontId="48" fillId="40" borderId="51" xfId="0" applyFont="1" applyFill="1" applyBorder="1" applyAlignment="1" applyProtection="1">
      <alignment/>
      <protection hidden="1"/>
    </xf>
    <xf numFmtId="0" fontId="46" fillId="40" borderId="81" xfId="0" applyFont="1" applyFill="1" applyBorder="1" applyAlignment="1" applyProtection="1">
      <alignment horizontal="center"/>
      <protection hidden="1"/>
    </xf>
    <xf numFmtId="3" fontId="46" fillId="40" borderId="81" xfId="0" applyNumberFormat="1" applyFont="1" applyFill="1" applyBorder="1" applyAlignment="1" applyProtection="1">
      <alignment/>
      <protection hidden="1"/>
    </xf>
    <xf numFmtId="3" fontId="46" fillId="40" borderId="81" xfId="0" applyNumberFormat="1" applyFont="1" applyFill="1" applyBorder="1" applyAlignment="1" applyProtection="1">
      <alignment horizontal="center"/>
      <protection hidden="1"/>
    </xf>
    <xf numFmtId="3" fontId="46" fillId="40" borderId="53" xfId="0" applyNumberFormat="1" applyFont="1" applyFill="1" applyBorder="1" applyAlignment="1" applyProtection="1">
      <alignment/>
      <protection hidden="1"/>
    </xf>
    <xf numFmtId="3" fontId="46" fillId="40" borderId="52" xfId="0" applyNumberFormat="1" applyFont="1" applyFill="1" applyBorder="1" applyAlignment="1" applyProtection="1">
      <alignment/>
      <protection hidden="1"/>
    </xf>
    <xf numFmtId="3" fontId="46" fillId="41" borderId="81" xfId="0" applyNumberFormat="1" applyFont="1" applyFill="1" applyBorder="1" applyAlignment="1" applyProtection="1">
      <alignment/>
      <protection hidden="1"/>
    </xf>
    <xf numFmtId="3" fontId="46" fillId="40" borderId="82" xfId="0" applyNumberFormat="1" applyFont="1" applyFill="1" applyBorder="1" applyAlignment="1" applyProtection="1">
      <alignment/>
      <protection hidden="1"/>
    </xf>
    <xf numFmtId="3" fontId="46" fillId="40" borderId="51" xfId="0" applyNumberFormat="1" applyFont="1" applyFill="1" applyBorder="1" applyAlignment="1" applyProtection="1">
      <alignment/>
      <protection hidden="1"/>
    </xf>
    <xf numFmtId="166" fontId="46" fillId="40" borderId="81" xfId="0" applyNumberFormat="1" applyFont="1" applyFill="1" applyBorder="1" applyAlignment="1" applyProtection="1">
      <alignment horizontal="right"/>
      <protection hidden="1"/>
    </xf>
    <xf numFmtId="3" fontId="45" fillId="0" borderId="64" xfId="0" applyNumberFormat="1" applyFont="1" applyFill="1" applyBorder="1" applyAlignment="1" applyProtection="1">
      <alignment/>
      <protection hidden="1"/>
    </xf>
    <xf numFmtId="3" fontId="45" fillId="0" borderId="28" xfId="0" applyNumberFormat="1" applyFont="1" applyFill="1" applyBorder="1" applyAlignment="1" applyProtection="1">
      <alignment/>
      <protection hidden="1"/>
    </xf>
    <xf numFmtId="3" fontId="45" fillId="0" borderId="64" xfId="0" applyNumberFormat="1" applyFont="1" applyFill="1" applyBorder="1" applyAlignment="1" applyProtection="1">
      <alignment/>
      <protection locked="0"/>
    </xf>
    <xf numFmtId="3" fontId="46" fillId="40" borderId="28" xfId="0" applyNumberFormat="1" applyFont="1" applyFill="1" applyBorder="1" applyAlignment="1" applyProtection="1">
      <alignment/>
      <protection hidden="1"/>
    </xf>
    <xf numFmtId="3" fontId="45" fillId="0" borderId="74" xfId="0" applyNumberFormat="1" applyFont="1" applyFill="1" applyBorder="1" applyAlignment="1" applyProtection="1">
      <alignment/>
      <protection hidden="1"/>
    </xf>
    <xf numFmtId="3" fontId="45" fillId="0" borderId="77" xfId="0" applyNumberFormat="1" applyFont="1" applyFill="1" applyBorder="1" applyAlignment="1" applyProtection="1">
      <alignment/>
      <protection hidden="1"/>
    </xf>
    <xf numFmtId="3" fontId="45" fillId="0" borderId="74" xfId="0" applyNumberFormat="1" applyFont="1" applyFill="1" applyBorder="1" applyAlignment="1" applyProtection="1">
      <alignment/>
      <protection locked="0"/>
    </xf>
    <xf numFmtId="3" fontId="45" fillId="0" borderId="80" xfId="0" applyNumberFormat="1" applyFont="1" applyFill="1" applyBorder="1" applyAlignment="1" applyProtection="1">
      <alignment/>
      <protection hidden="1"/>
    </xf>
    <xf numFmtId="3" fontId="45" fillId="0" borderId="89" xfId="0" applyNumberFormat="1" applyFont="1" applyFill="1" applyBorder="1" applyAlignment="1" applyProtection="1">
      <alignment/>
      <protection hidden="1"/>
    </xf>
    <xf numFmtId="3" fontId="45" fillId="0" borderId="80" xfId="0" applyNumberFormat="1" applyFont="1" applyFill="1" applyBorder="1" applyAlignment="1" applyProtection="1">
      <alignment/>
      <protection locked="0"/>
    </xf>
    <xf numFmtId="3" fontId="46" fillId="39" borderId="80" xfId="0" applyNumberFormat="1" applyFon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3" fontId="46" fillId="41" borderId="82" xfId="0" applyNumberFormat="1" applyFont="1" applyFill="1" applyBorder="1" applyAlignment="1" applyProtection="1">
      <alignment/>
      <protection hidden="1"/>
    </xf>
    <xf numFmtId="3" fontId="46" fillId="40" borderId="83" xfId="0" applyNumberFormat="1" applyFont="1" applyFill="1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3" fontId="0" fillId="0" borderId="65" xfId="0" applyNumberFormat="1" applyBorder="1" applyAlignment="1" applyProtection="1">
      <alignment/>
      <protection hidden="1"/>
    </xf>
    <xf numFmtId="3" fontId="46" fillId="0" borderId="65" xfId="0" applyNumberFormat="1" applyFont="1" applyFill="1" applyBorder="1" applyAlignment="1" applyProtection="1">
      <alignment horizontal="center"/>
      <protection hidden="1"/>
    </xf>
    <xf numFmtId="3" fontId="46" fillId="0" borderId="65" xfId="0" applyNumberFormat="1" applyFont="1" applyFill="1" applyBorder="1" applyAlignment="1" applyProtection="1">
      <alignment/>
      <protection hidden="1"/>
    </xf>
    <xf numFmtId="3" fontId="46" fillId="0" borderId="81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41" xfId="0" applyNumberFormat="1" applyBorder="1" applyAlignment="1" applyProtection="1">
      <alignment/>
      <protection hidden="1"/>
    </xf>
    <xf numFmtId="3" fontId="0" fillId="0" borderId="67" xfId="0" applyNumberFormat="1" applyBorder="1" applyAlignment="1" applyProtection="1">
      <alignment/>
      <protection hidden="1"/>
    </xf>
    <xf numFmtId="3" fontId="0" fillId="0" borderId="91" xfId="0" applyNumberFormat="1" applyBorder="1" applyAlignment="1" applyProtection="1">
      <alignment/>
      <protection hidden="1"/>
    </xf>
    <xf numFmtId="3" fontId="46" fillId="0" borderId="52" xfId="0" applyNumberFormat="1" applyFont="1" applyFill="1" applyBorder="1" applyAlignment="1" applyProtection="1">
      <alignment/>
      <protection hidden="1"/>
    </xf>
    <xf numFmtId="166" fontId="46" fillId="0" borderId="52" xfId="0" applyNumberFormat="1" applyFont="1" applyFill="1" applyBorder="1" applyAlignment="1" applyProtection="1">
      <alignment horizontal="right"/>
      <protection hidden="1"/>
    </xf>
    <xf numFmtId="0" fontId="48" fillId="40" borderId="54" xfId="0" applyFont="1" applyFill="1" applyBorder="1" applyAlignment="1" applyProtection="1">
      <alignment/>
      <protection hidden="1"/>
    </xf>
    <xf numFmtId="3" fontId="46" fillId="40" borderId="91" xfId="0" applyNumberFormat="1" applyFont="1" applyFill="1" applyBorder="1" applyAlignment="1" applyProtection="1">
      <alignment/>
      <protection hidden="1"/>
    </xf>
    <xf numFmtId="0" fontId="48" fillId="40" borderId="59" xfId="0" applyFont="1" applyFill="1" applyBorder="1" applyAlignment="1" applyProtection="1">
      <alignment/>
      <protection hidden="1"/>
    </xf>
    <xf numFmtId="0" fontId="46" fillId="40" borderId="60" xfId="0" applyFont="1" applyFill="1" applyBorder="1" applyAlignment="1" applyProtection="1">
      <alignment horizontal="center"/>
      <protection hidden="1"/>
    </xf>
    <xf numFmtId="3" fontId="46" fillId="40" borderId="60" xfId="0" applyNumberFormat="1" applyFont="1" applyFill="1" applyBorder="1" applyAlignment="1" applyProtection="1">
      <alignment/>
      <protection hidden="1"/>
    </xf>
    <xf numFmtId="3" fontId="46" fillId="40" borderId="60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14" fillId="0" borderId="0" xfId="0" applyFont="1" applyAlignment="1">
      <alignment/>
    </xf>
    <xf numFmtId="0" fontId="40" fillId="42" borderId="51" xfId="0" applyFont="1" applyFill="1" applyBorder="1" applyAlignment="1">
      <alignment/>
    </xf>
    <xf numFmtId="0" fontId="41" fillId="42" borderId="52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8" fillId="0" borderId="55" xfId="0" applyFont="1" applyFill="1" applyBorder="1" applyAlignment="1">
      <alignment horizontal="center"/>
    </xf>
    <xf numFmtId="0" fontId="38" fillId="40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9" fillId="0" borderId="57" xfId="0" applyFont="1" applyBorder="1" applyAlignment="1">
      <alignment horizontal="center"/>
    </xf>
    <xf numFmtId="0" fontId="38" fillId="40" borderId="58" xfId="0" applyFont="1" applyFill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47" fillId="0" borderId="61" xfId="0" applyFont="1" applyFill="1" applyBorder="1" applyAlignment="1">
      <alignment horizontal="center"/>
    </xf>
    <xf numFmtId="0" fontId="47" fillId="0" borderId="62" xfId="0" applyFont="1" applyFill="1" applyBorder="1" applyAlignment="1">
      <alignment horizontal="center"/>
    </xf>
    <xf numFmtId="0" fontId="47" fillId="0" borderId="60" xfId="0" applyFont="1" applyFill="1" applyBorder="1" applyAlignment="1">
      <alignment horizontal="center"/>
    </xf>
    <xf numFmtId="0" fontId="38" fillId="40" borderId="60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38" fillId="40" borderId="61" xfId="0" applyFont="1" applyFill="1" applyBorder="1" applyAlignment="1">
      <alignment horizontal="center"/>
    </xf>
    <xf numFmtId="0" fontId="44" fillId="0" borderId="29" xfId="0" applyFont="1" applyBorder="1" applyAlignment="1">
      <alignment/>
    </xf>
    <xf numFmtId="0" fontId="0" fillId="0" borderId="65" xfId="0" applyBorder="1" applyAlignment="1">
      <alignment/>
    </xf>
    <xf numFmtId="165" fontId="47" fillId="0" borderId="68" xfId="0" applyNumberFormat="1" applyFont="1" applyFill="1" applyBorder="1" applyAlignment="1">
      <alignment horizontal="right"/>
    </xf>
    <xf numFmtId="166" fontId="0" fillId="0" borderId="25" xfId="0" applyNumberFormat="1" applyFill="1" applyBorder="1" applyAlignment="1">
      <alignment/>
    </xf>
    <xf numFmtId="166" fontId="0" fillId="0" borderId="65" xfId="0" applyNumberFormat="1" applyFill="1" applyBorder="1" applyAlignment="1">
      <alignment/>
    </xf>
    <xf numFmtId="165" fontId="38" fillId="40" borderId="65" xfId="0" applyNumberFormat="1" applyFont="1" applyFill="1" applyBorder="1" applyAlignment="1">
      <alignment horizontal="right"/>
    </xf>
    <xf numFmtId="166" fontId="0" fillId="0" borderId="66" xfId="0" applyNumberFormat="1" applyBorder="1" applyAlignment="1">
      <alignment/>
    </xf>
    <xf numFmtId="166" fontId="0" fillId="0" borderId="67" xfId="0" applyNumberFormat="1" applyBorder="1" applyAlignment="1">
      <alignment/>
    </xf>
    <xf numFmtId="166" fontId="0" fillId="0" borderId="41" xfId="0" applyNumberFormat="1" applyBorder="1" applyAlignment="1">
      <alignment/>
    </xf>
    <xf numFmtId="166" fontId="0" fillId="0" borderId="41" xfId="0" applyNumberFormat="1" applyFill="1" applyBorder="1" applyAlignment="1">
      <alignment/>
    </xf>
    <xf numFmtId="3" fontId="38" fillId="40" borderId="65" xfId="0" applyNumberFormat="1" applyFont="1" applyFill="1" applyBorder="1" applyAlignment="1">
      <alignment horizontal="center"/>
    </xf>
    <xf numFmtId="3" fontId="38" fillId="40" borderId="68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44" fillId="0" borderId="69" xfId="0" applyFont="1" applyBorder="1" applyAlignment="1">
      <alignment/>
    </xf>
    <xf numFmtId="0" fontId="0" fillId="0" borderId="70" xfId="0" applyBorder="1" applyAlignment="1">
      <alignment/>
    </xf>
    <xf numFmtId="165" fontId="47" fillId="0" borderId="73" xfId="0" applyNumberFormat="1" applyFont="1" applyFill="1" applyBorder="1" applyAlignment="1">
      <alignment horizontal="right"/>
    </xf>
    <xf numFmtId="166" fontId="0" fillId="0" borderId="71" xfId="0" applyNumberFormat="1" applyBorder="1" applyAlignment="1">
      <alignment/>
    </xf>
    <xf numFmtId="166" fontId="0" fillId="0" borderId="70" xfId="0" applyNumberFormat="1" applyBorder="1" applyAlignment="1">
      <alignment/>
    </xf>
    <xf numFmtId="165" fontId="38" fillId="40" borderId="70" xfId="0" applyNumberFormat="1" applyFont="1" applyFill="1" applyBorder="1" applyAlignment="1">
      <alignment horizontal="right"/>
    </xf>
    <xf numFmtId="166" fontId="0" fillId="0" borderId="63" xfId="0" applyNumberFormat="1" applyBorder="1" applyAlignment="1">
      <alignment/>
    </xf>
    <xf numFmtId="166" fontId="0" fillId="0" borderId="72" xfId="0" applyNumberFormat="1" applyBorder="1" applyAlignment="1">
      <alignment/>
    </xf>
    <xf numFmtId="166" fontId="38" fillId="40" borderId="70" xfId="0" applyNumberFormat="1" applyFont="1" applyFill="1" applyBorder="1" applyAlignment="1">
      <alignment/>
    </xf>
    <xf numFmtId="3" fontId="38" fillId="40" borderId="73" xfId="0" applyNumberFormat="1" applyFont="1" applyFill="1" applyBorder="1" applyAlignment="1">
      <alignment horizontal="center"/>
    </xf>
    <xf numFmtId="0" fontId="44" fillId="0" borderId="77" xfId="0" applyFont="1" applyBorder="1" applyAlignment="1">
      <alignment/>
    </xf>
    <xf numFmtId="0" fontId="0" fillId="0" borderId="74" xfId="0" applyBorder="1" applyAlignment="1">
      <alignment/>
    </xf>
    <xf numFmtId="3" fontId="47" fillId="0" borderId="76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38" fillId="40" borderId="74" xfId="0" applyNumberFormat="1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38" fillId="40" borderId="7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74" xfId="0" applyNumberFormat="1" applyBorder="1" applyAlignment="1">
      <alignment horizontal="right"/>
    </xf>
    <xf numFmtId="3" fontId="0" fillId="0" borderId="7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47" fillId="0" borderId="68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0" fontId="44" fillId="40" borderId="51" xfId="0" applyFont="1" applyFill="1" applyBorder="1" applyAlignment="1">
      <alignment/>
    </xf>
    <xf numFmtId="0" fontId="38" fillId="40" borderId="81" xfId="0" applyFont="1" applyFill="1" applyBorder="1" applyAlignment="1">
      <alignment/>
    </xf>
    <xf numFmtId="3" fontId="38" fillId="40" borderId="53" xfId="0" applyNumberFormat="1" applyFont="1" applyFill="1" applyBorder="1" applyAlignment="1">
      <alignment horizontal="right"/>
    </xf>
    <xf numFmtId="3" fontId="38" fillId="40" borderId="52" xfId="0" applyNumberFormat="1" applyFont="1" applyFill="1" applyBorder="1" applyAlignment="1">
      <alignment/>
    </xf>
    <xf numFmtId="3" fontId="38" fillId="40" borderId="81" xfId="0" applyNumberFormat="1" applyFont="1" applyFill="1" applyBorder="1" applyAlignment="1">
      <alignment/>
    </xf>
    <xf numFmtId="3" fontId="38" fillId="40" borderId="81" xfId="0" applyNumberFormat="1" applyFont="1" applyFill="1" applyBorder="1" applyAlignment="1">
      <alignment horizontal="center"/>
    </xf>
    <xf numFmtId="3" fontId="38" fillId="40" borderId="82" xfId="0" applyNumberFormat="1" applyFont="1" applyFill="1" applyBorder="1" applyAlignment="1">
      <alignment/>
    </xf>
    <xf numFmtId="3" fontId="38" fillId="40" borderId="83" xfId="0" applyNumberFormat="1" applyFont="1" applyFill="1" applyBorder="1" applyAlignment="1">
      <alignment/>
    </xf>
    <xf numFmtId="3" fontId="38" fillId="40" borderId="53" xfId="0" applyNumberFormat="1" applyFont="1" applyFill="1" applyBorder="1" applyAlignment="1">
      <alignment horizontal="center"/>
    </xf>
    <xf numFmtId="0" fontId="44" fillId="0" borderId="85" xfId="0" applyFont="1" applyBorder="1" applyAlignment="1">
      <alignment/>
    </xf>
    <xf numFmtId="0" fontId="0" fillId="0" borderId="85" xfId="0" applyBorder="1" applyAlignment="1">
      <alignment/>
    </xf>
    <xf numFmtId="3" fontId="45" fillId="0" borderId="58" xfId="0" applyNumberFormat="1" applyFont="1" applyFill="1" applyBorder="1" applyAlignment="1">
      <alignment/>
    </xf>
    <xf numFmtId="3" fontId="45" fillId="0" borderId="34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/>
    </xf>
    <xf numFmtId="3" fontId="46" fillId="40" borderId="55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86" xfId="0" applyNumberFormat="1" applyBorder="1" applyAlignment="1">
      <alignment/>
    </xf>
    <xf numFmtId="166" fontId="46" fillId="40" borderId="58" xfId="0" applyNumberFormat="1" applyFont="1" applyFill="1" applyBorder="1" applyAlignment="1">
      <alignment/>
    </xf>
    <xf numFmtId="3" fontId="45" fillId="0" borderId="74" xfId="0" applyNumberFormat="1" applyFont="1" applyFill="1" applyBorder="1" applyAlignment="1">
      <alignment/>
    </xf>
    <xf numFmtId="3" fontId="45" fillId="0" borderId="77" xfId="0" applyNumberFormat="1" applyFont="1" applyFill="1" applyBorder="1" applyAlignment="1">
      <alignment/>
    </xf>
    <xf numFmtId="3" fontId="46" fillId="40" borderId="74" xfId="0" applyNumberFormat="1" applyFont="1" applyFill="1" applyBorder="1" applyAlignment="1">
      <alignment/>
    </xf>
    <xf numFmtId="166" fontId="46" fillId="40" borderId="76" xfId="0" applyNumberFormat="1" applyFont="1" applyFill="1" applyBorder="1" applyAlignment="1">
      <alignment/>
    </xf>
    <xf numFmtId="0" fontId="44" fillId="0" borderId="59" xfId="0" applyFont="1" applyBorder="1" applyAlignment="1">
      <alignment/>
    </xf>
    <xf numFmtId="0" fontId="0" fillId="0" borderId="60" xfId="0" applyBorder="1" applyAlignment="1">
      <alignment/>
    </xf>
    <xf numFmtId="3" fontId="45" fillId="0" borderId="61" xfId="0" applyNumberFormat="1" applyFont="1" applyFill="1" applyBorder="1" applyAlignment="1">
      <alignment/>
    </xf>
    <xf numFmtId="3" fontId="45" fillId="0" borderId="62" xfId="0" applyNumberFormat="1" applyFont="1" applyFill="1" applyBorder="1" applyAlignment="1">
      <alignment/>
    </xf>
    <xf numFmtId="3" fontId="45" fillId="0" borderId="60" xfId="0" applyNumberFormat="1" applyFont="1" applyFill="1" applyBorder="1" applyAlignment="1">
      <alignment/>
    </xf>
    <xf numFmtId="3" fontId="46" fillId="40" borderId="60" xfId="0" applyNumberFormat="1" applyFont="1" applyFill="1" applyBorder="1" applyAlignment="1">
      <alignment/>
    </xf>
    <xf numFmtId="3" fontId="0" fillId="0" borderId="62" xfId="0" applyNumberFormat="1" applyBorder="1" applyAlignment="1">
      <alignment/>
    </xf>
    <xf numFmtId="3" fontId="0" fillId="0" borderId="46" xfId="0" applyNumberFormat="1" applyBorder="1" applyAlignment="1">
      <alignment/>
    </xf>
    <xf numFmtId="166" fontId="46" fillId="40" borderId="61" xfId="0" applyNumberFormat="1" applyFont="1" applyFill="1" applyBorder="1" applyAlignment="1">
      <alignment/>
    </xf>
    <xf numFmtId="3" fontId="45" fillId="0" borderId="84" xfId="0" applyNumberFormat="1" applyFont="1" applyFill="1" applyBorder="1" applyAlignment="1">
      <alignment/>
    </xf>
    <xf numFmtId="3" fontId="45" fillId="0" borderId="90" xfId="0" applyNumberFormat="1" applyFont="1" applyFill="1" applyBorder="1" applyAlignment="1">
      <alignment/>
    </xf>
    <xf numFmtId="3" fontId="45" fillId="0" borderId="80" xfId="0" applyNumberFormat="1" applyFont="1" applyFill="1" applyBorder="1" applyAlignment="1">
      <alignment/>
    </xf>
    <xf numFmtId="3" fontId="46" fillId="40" borderId="80" xfId="0" applyNumberFormat="1" applyFont="1" applyFill="1" applyBorder="1" applyAlignment="1">
      <alignment/>
    </xf>
    <xf numFmtId="0" fontId="47" fillId="0" borderId="74" xfId="0" applyFont="1" applyBorder="1" applyAlignment="1">
      <alignment/>
    </xf>
    <xf numFmtId="0" fontId="47" fillId="0" borderId="74" xfId="0" applyFont="1" applyBorder="1" applyAlignment="1">
      <alignment horizontal="right"/>
    </xf>
    <xf numFmtId="3" fontId="45" fillId="0" borderId="68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5" fillId="0" borderId="65" xfId="0" applyNumberFormat="1" applyFont="1" applyFill="1" applyBorder="1" applyAlignment="1">
      <alignment/>
    </xf>
    <xf numFmtId="3" fontId="46" fillId="40" borderId="65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166" fontId="46" fillId="40" borderId="68" xfId="0" applyNumberFormat="1" applyFont="1" applyFill="1" applyBorder="1" applyAlignment="1">
      <alignment/>
    </xf>
    <xf numFmtId="0" fontId="48" fillId="40" borderId="51" xfId="0" applyFont="1" applyFill="1" applyBorder="1" applyAlignment="1">
      <alignment/>
    </xf>
    <xf numFmtId="0" fontId="46" fillId="40" borderId="81" xfId="0" applyFont="1" applyFill="1" applyBorder="1" applyAlignment="1">
      <alignment/>
    </xf>
    <xf numFmtId="3" fontId="46" fillId="40" borderId="53" xfId="0" applyNumberFormat="1" applyFont="1" applyFill="1" applyBorder="1" applyAlignment="1">
      <alignment/>
    </xf>
    <xf numFmtId="3" fontId="46" fillId="40" borderId="52" xfId="0" applyNumberFormat="1" applyFont="1" applyFill="1" applyBorder="1" applyAlignment="1">
      <alignment/>
    </xf>
    <xf numFmtId="3" fontId="46" fillId="40" borderId="81" xfId="0" applyNumberFormat="1" applyFont="1" applyFill="1" applyBorder="1" applyAlignment="1">
      <alignment/>
    </xf>
    <xf numFmtId="3" fontId="46" fillId="40" borderId="82" xfId="0" applyNumberFormat="1" applyFont="1" applyFill="1" applyBorder="1" applyAlignment="1">
      <alignment/>
    </xf>
    <xf numFmtId="3" fontId="46" fillId="40" borderId="83" xfId="0" applyNumberFormat="1" applyFont="1" applyFill="1" applyBorder="1" applyAlignment="1">
      <alignment/>
    </xf>
    <xf numFmtId="166" fontId="46" fillId="40" borderId="53" xfId="0" applyNumberFormat="1" applyFont="1" applyFill="1" applyBorder="1" applyAlignment="1">
      <alignment/>
    </xf>
    <xf numFmtId="3" fontId="45" fillId="0" borderId="92" xfId="0" applyNumberFormat="1" applyFont="1" applyFill="1" applyBorder="1" applyAlignment="1">
      <alignment/>
    </xf>
    <xf numFmtId="3" fontId="45" fillId="0" borderId="78" xfId="0" applyNumberFormat="1" applyFont="1" applyFill="1" applyBorder="1" applyAlignment="1">
      <alignment/>
    </xf>
    <xf numFmtId="3" fontId="45" fillId="0" borderId="64" xfId="0" applyNumberFormat="1" applyFont="1" applyFill="1" applyBorder="1" applyAlignment="1">
      <alignment/>
    </xf>
    <xf numFmtId="3" fontId="46" fillId="40" borderId="64" xfId="0" applyNumberFormat="1" applyFont="1" applyFill="1" applyBorder="1" applyAlignment="1">
      <alignment/>
    </xf>
    <xf numFmtId="3" fontId="46" fillId="0" borderId="68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6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46" fillId="40" borderId="81" xfId="0" applyFont="1" applyFill="1" applyBorder="1" applyAlignment="1">
      <alignment horizontal="right"/>
    </xf>
    <xf numFmtId="3" fontId="46" fillId="40" borderId="51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3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42" borderId="51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41" fillId="43" borderId="0" xfId="0" applyFont="1" applyFill="1" applyBorder="1" applyAlignment="1">
      <alignment/>
    </xf>
    <xf numFmtId="0" fontId="55" fillId="0" borderId="54" xfId="0" applyFont="1" applyBorder="1" applyAlignment="1">
      <alignment/>
    </xf>
    <xf numFmtId="0" fontId="55" fillId="0" borderId="58" xfId="0" applyFont="1" applyBorder="1" applyAlignment="1">
      <alignment/>
    </xf>
    <xf numFmtId="0" fontId="0" fillId="0" borderId="58" xfId="0" applyBorder="1" applyAlignment="1">
      <alignment/>
    </xf>
    <xf numFmtId="0" fontId="43" fillId="40" borderId="58" xfId="0" applyFont="1" applyFill="1" applyBorder="1" applyAlignment="1">
      <alignment horizontal="center"/>
    </xf>
    <xf numFmtId="0" fontId="55" fillId="0" borderId="56" xfId="0" applyFont="1" applyBorder="1" applyAlignment="1">
      <alignment/>
    </xf>
    <xf numFmtId="0" fontId="55" fillId="0" borderId="57" xfId="0" applyFont="1" applyBorder="1" applyAlignment="1">
      <alignment/>
    </xf>
    <xf numFmtId="0" fontId="58" fillId="0" borderId="57" xfId="0" applyFont="1" applyBorder="1" applyAlignment="1">
      <alignment horizontal="center"/>
    </xf>
    <xf numFmtId="0" fontId="43" fillId="40" borderId="55" xfId="0" applyFont="1" applyFill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40" borderId="61" xfId="0" applyFont="1" applyFill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43" fillId="40" borderId="60" xfId="0" applyFont="1" applyFill="1" applyBorder="1" applyAlignment="1">
      <alignment horizontal="center"/>
    </xf>
    <xf numFmtId="0" fontId="55" fillId="0" borderId="29" xfId="0" applyFont="1" applyBorder="1" applyAlignment="1">
      <alignment vertical="center"/>
    </xf>
    <xf numFmtId="0" fontId="43" fillId="0" borderId="68" xfId="0" applyFont="1" applyBorder="1" applyAlignment="1">
      <alignment/>
    </xf>
    <xf numFmtId="0" fontId="0" fillId="0" borderId="68" xfId="0" applyBorder="1" applyAlignment="1">
      <alignment/>
    </xf>
    <xf numFmtId="165" fontId="0" fillId="0" borderId="68" xfId="0" applyNumberFormat="1" applyBorder="1" applyAlignment="1">
      <alignment/>
    </xf>
    <xf numFmtId="0" fontId="60" fillId="0" borderId="41" xfId="0" applyFont="1" applyFill="1" applyBorder="1" applyAlignment="1">
      <alignment vertical="center"/>
    </xf>
    <xf numFmtId="0" fontId="60" fillId="0" borderId="65" xfId="0" applyFont="1" applyFill="1" applyBorder="1" applyAlignment="1">
      <alignment/>
    </xf>
    <xf numFmtId="1" fontId="61" fillId="40" borderId="68" xfId="0" applyNumberFormat="1" applyFont="1" applyFill="1" applyBorder="1" applyAlignment="1">
      <alignment horizontal="right" vertical="center"/>
    </xf>
    <xf numFmtId="3" fontId="60" fillId="0" borderId="66" xfId="0" applyNumberFormat="1" applyFont="1" applyBorder="1" applyAlignment="1">
      <alignment vertical="center"/>
    </xf>
    <xf numFmtId="3" fontId="60" fillId="0" borderId="67" xfId="0" applyNumberFormat="1" applyFont="1" applyBorder="1" applyAlignment="1">
      <alignment vertical="center"/>
    </xf>
    <xf numFmtId="3" fontId="60" fillId="0" borderId="41" xfId="0" applyNumberFormat="1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3" fontId="61" fillId="40" borderId="65" xfId="0" applyNumberFormat="1" applyFont="1" applyFill="1" applyBorder="1" applyAlignment="1">
      <alignment horizontal="center" vertical="center"/>
    </xf>
    <xf numFmtId="3" fontId="61" fillId="40" borderId="68" xfId="0" applyNumberFormat="1" applyFont="1" applyFill="1" applyBorder="1" applyAlignment="1">
      <alignment horizontal="center" vertical="center"/>
    </xf>
    <xf numFmtId="0" fontId="55" fillId="0" borderId="69" xfId="0" applyFont="1" applyBorder="1" applyAlignment="1">
      <alignment vertical="center"/>
    </xf>
    <xf numFmtId="0" fontId="43" fillId="0" borderId="73" xfId="0" applyFont="1" applyBorder="1" applyAlignment="1">
      <alignment/>
    </xf>
    <xf numFmtId="0" fontId="0" fillId="0" borderId="73" xfId="0" applyBorder="1" applyAlignment="1">
      <alignment/>
    </xf>
    <xf numFmtId="165" fontId="0" fillId="0" borderId="73" xfId="0" applyNumberFormat="1" applyBorder="1" applyAlignment="1">
      <alignment/>
    </xf>
    <xf numFmtId="2" fontId="60" fillId="0" borderId="71" xfId="0" applyNumberFormat="1" applyFont="1" applyBorder="1" applyAlignment="1">
      <alignment vertical="center"/>
    </xf>
    <xf numFmtId="2" fontId="60" fillId="0" borderId="70" xfId="0" applyNumberFormat="1" applyFont="1" applyBorder="1" applyAlignment="1">
      <alignment/>
    </xf>
    <xf numFmtId="2" fontId="61" fillId="40" borderId="73" xfId="0" applyNumberFormat="1" applyFont="1" applyFill="1" applyBorder="1" applyAlignment="1">
      <alignment horizontal="right" vertical="center"/>
    </xf>
    <xf numFmtId="4" fontId="60" fillId="0" borderId="71" xfId="0" applyNumberFormat="1" applyFont="1" applyBorder="1" applyAlignment="1">
      <alignment vertical="center"/>
    </xf>
    <xf numFmtId="4" fontId="60" fillId="0" borderId="63" xfId="0" applyNumberFormat="1" applyFont="1" applyBorder="1" applyAlignment="1">
      <alignment vertical="center"/>
    </xf>
    <xf numFmtId="4" fontId="60" fillId="0" borderId="72" xfId="0" applyNumberFormat="1" applyFont="1" applyBorder="1" applyAlignment="1">
      <alignment vertical="center"/>
    </xf>
    <xf numFmtId="2" fontId="60" fillId="0" borderId="63" xfId="0" applyNumberFormat="1" applyFont="1" applyBorder="1" applyAlignment="1">
      <alignment vertical="center"/>
    </xf>
    <xf numFmtId="166" fontId="61" fillId="40" borderId="70" xfId="0" applyNumberFormat="1" applyFont="1" applyFill="1" applyBorder="1" applyAlignment="1">
      <alignment vertical="center"/>
    </xf>
    <xf numFmtId="3" fontId="61" fillId="40" borderId="73" xfId="0" applyNumberFormat="1" applyFont="1" applyFill="1" applyBorder="1" applyAlignment="1">
      <alignment horizontal="center" vertical="center"/>
    </xf>
    <xf numFmtId="0" fontId="55" fillId="0" borderId="77" xfId="0" applyFont="1" applyBorder="1" applyAlignment="1">
      <alignment vertical="center"/>
    </xf>
    <xf numFmtId="0" fontId="62" fillId="0" borderId="76" xfId="0" applyFont="1" applyBorder="1" applyAlignment="1">
      <alignment horizontal="center" vertical="center"/>
    </xf>
    <xf numFmtId="3" fontId="0" fillId="0" borderId="76" xfId="0" applyNumberFormat="1" applyBorder="1" applyAlignment="1">
      <alignment/>
    </xf>
    <xf numFmtId="3" fontId="60" fillId="0" borderId="27" xfId="0" applyNumberFormat="1" applyFont="1" applyBorder="1" applyAlignment="1">
      <alignment vertical="center"/>
    </xf>
    <xf numFmtId="3" fontId="60" fillId="0" borderId="74" xfId="0" applyNumberFormat="1" applyFont="1" applyBorder="1" applyAlignment="1">
      <alignment/>
    </xf>
    <xf numFmtId="3" fontId="60" fillId="0" borderId="85" xfId="0" applyNumberFormat="1" applyFont="1" applyBorder="1" applyAlignment="1">
      <alignment/>
    </xf>
    <xf numFmtId="3" fontId="61" fillId="40" borderId="76" xfId="0" applyNumberFormat="1" applyFont="1" applyFill="1" applyBorder="1" applyAlignment="1">
      <alignment horizontal="center" vertical="center"/>
    </xf>
    <xf numFmtId="3" fontId="60" fillId="0" borderId="86" xfId="0" applyNumberFormat="1" applyFont="1" applyBorder="1" applyAlignment="1">
      <alignment vertical="center"/>
    </xf>
    <xf numFmtId="3" fontId="60" fillId="0" borderId="75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" fontId="61" fillId="40" borderId="74" xfId="0" applyNumberFormat="1" applyFont="1" applyFill="1" applyBorder="1" applyAlignment="1">
      <alignment horizontal="center" vertical="center"/>
    </xf>
    <xf numFmtId="0" fontId="43" fillId="0" borderId="76" xfId="0" applyFont="1" applyBorder="1" applyAlignment="1">
      <alignment/>
    </xf>
    <xf numFmtId="3" fontId="0" fillId="0" borderId="92" xfId="0" applyNumberFormat="1" applyBorder="1" applyAlignment="1">
      <alignment/>
    </xf>
    <xf numFmtId="3" fontId="60" fillId="0" borderId="78" xfId="0" applyNumberFormat="1" applyFont="1" applyBorder="1" applyAlignment="1">
      <alignment vertical="center"/>
    </xf>
    <xf numFmtId="3" fontId="60" fillId="0" borderId="37" xfId="0" applyNumberFormat="1" applyFont="1" applyBorder="1" applyAlignment="1">
      <alignment vertical="center"/>
    </xf>
    <xf numFmtId="3" fontId="60" fillId="0" borderId="79" xfId="0" applyNumberFormat="1" applyFont="1" applyBorder="1" applyAlignment="1">
      <alignment vertical="center"/>
    </xf>
    <xf numFmtId="0" fontId="62" fillId="0" borderId="68" xfId="0" applyFont="1" applyBorder="1" applyAlignment="1">
      <alignment horizontal="center" vertical="center"/>
    </xf>
    <xf numFmtId="3" fontId="0" fillId="0" borderId="68" xfId="0" applyNumberFormat="1" applyBorder="1" applyAlignment="1">
      <alignment/>
    </xf>
    <xf numFmtId="3" fontId="60" fillId="0" borderId="41" xfId="0" applyNumberFormat="1" applyFont="1" applyFill="1" applyBorder="1" applyAlignment="1">
      <alignment vertical="center"/>
    </xf>
    <xf numFmtId="3" fontId="60" fillId="0" borderId="65" xfId="0" applyNumberFormat="1" applyFont="1" applyFill="1" applyBorder="1" applyAlignment="1">
      <alignment/>
    </xf>
    <xf numFmtId="3" fontId="60" fillId="0" borderId="0" xfId="0" applyNumberFormat="1" applyFont="1" applyAlignment="1">
      <alignment vertical="center"/>
    </xf>
    <xf numFmtId="0" fontId="43" fillId="40" borderId="51" xfId="0" applyFont="1" applyFill="1" applyBorder="1" applyAlignment="1">
      <alignment vertical="center"/>
    </xf>
    <xf numFmtId="0" fontId="43" fillId="40" borderId="53" xfId="0" applyFont="1" applyFill="1" applyBorder="1" applyAlignment="1">
      <alignment/>
    </xf>
    <xf numFmtId="0" fontId="63" fillId="40" borderId="53" xfId="0" applyFont="1" applyFill="1" applyBorder="1" applyAlignment="1">
      <alignment horizontal="center" vertical="center"/>
    </xf>
    <xf numFmtId="3" fontId="38" fillId="40" borderId="53" xfId="0" applyNumberFormat="1" applyFont="1" applyFill="1" applyBorder="1" applyAlignment="1">
      <alignment/>
    </xf>
    <xf numFmtId="3" fontId="61" fillId="40" borderId="52" xfId="0" applyNumberFormat="1" applyFont="1" applyFill="1" applyBorder="1" applyAlignment="1">
      <alignment vertical="center"/>
    </xf>
    <xf numFmtId="3" fontId="61" fillId="40" borderId="81" xfId="0" applyNumberFormat="1" applyFont="1" applyFill="1" applyBorder="1" applyAlignment="1">
      <alignment/>
    </xf>
    <xf numFmtId="3" fontId="61" fillId="40" borderId="53" xfId="0" applyNumberFormat="1" applyFont="1" applyFill="1" applyBorder="1" applyAlignment="1">
      <alignment horizontal="center" vertical="center"/>
    </xf>
    <xf numFmtId="3" fontId="61" fillId="40" borderId="82" xfId="0" applyNumberFormat="1" applyFont="1" applyFill="1" applyBorder="1" applyAlignment="1">
      <alignment vertical="center"/>
    </xf>
    <xf numFmtId="3" fontId="61" fillId="40" borderId="83" xfId="0" applyNumberFormat="1" applyFont="1" applyFill="1" applyBorder="1" applyAlignment="1">
      <alignment vertical="center"/>
    </xf>
    <xf numFmtId="3" fontId="61" fillId="40" borderId="81" xfId="0" applyNumberFormat="1" applyFont="1" applyFill="1" applyBorder="1" applyAlignment="1">
      <alignment horizontal="center" vertical="center"/>
    </xf>
    <xf numFmtId="3" fontId="60" fillId="0" borderId="70" xfId="0" applyNumberFormat="1" applyFont="1" applyBorder="1" applyAlignment="1">
      <alignment/>
    </xf>
    <xf numFmtId="0" fontId="55" fillId="0" borderId="56" xfId="0" applyFont="1" applyBorder="1" applyAlignment="1">
      <alignment vertical="center"/>
    </xf>
    <xf numFmtId="0" fontId="64" fillId="0" borderId="87" xfId="0" applyFont="1" applyBorder="1" applyAlignment="1">
      <alignment horizontal="center"/>
    </xf>
    <xf numFmtId="3" fontId="0" fillId="0" borderId="87" xfId="0" applyNumberFormat="1" applyBorder="1" applyAlignment="1">
      <alignment/>
    </xf>
    <xf numFmtId="3" fontId="60" fillId="0" borderId="85" xfId="0" applyNumberFormat="1" applyFont="1" applyFill="1" applyBorder="1" applyAlignment="1">
      <alignment/>
    </xf>
    <xf numFmtId="3" fontId="61" fillId="40" borderId="58" xfId="0" applyNumberFormat="1" applyFont="1" applyFill="1" applyBorder="1" applyAlignment="1">
      <alignment vertical="center"/>
    </xf>
    <xf numFmtId="3" fontId="60" fillId="0" borderId="57" xfId="0" applyNumberFormat="1" applyFont="1" applyBorder="1" applyAlignment="1">
      <alignment vertical="center"/>
    </xf>
    <xf numFmtId="3" fontId="61" fillId="40" borderId="55" xfId="0" applyNumberFormat="1" applyFont="1" applyFill="1" applyBorder="1" applyAlignment="1">
      <alignment vertical="center"/>
    </xf>
    <xf numFmtId="166" fontId="61" fillId="40" borderId="58" xfId="0" applyNumberFormat="1" applyFont="1" applyFill="1" applyBorder="1" applyAlignment="1">
      <alignment vertical="center"/>
    </xf>
    <xf numFmtId="0" fontId="64" fillId="0" borderId="76" xfId="0" applyFont="1" applyBorder="1" applyAlignment="1">
      <alignment horizontal="center"/>
    </xf>
    <xf numFmtId="3" fontId="60" fillId="0" borderId="74" xfId="0" applyNumberFormat="1" applyFont="1" applyFill="1" applyBorder="1" applyAlignment="1">
      <alignment/>
    </xf>
    <xf numFmtId="3" fontId="61" fillId="40" borderId="76" xfId="0" applyNumberFormat="1" applyFont="1" applyFill="1" applyBorder="1" applyAlignment="1">
      <alignment vertical="center"/>
    </xf>
    <xf numFmtId="3" fontId="61" fillId="40" borderId="74" xfId="0" applyNumberFormat="1" applyFont="1" applyFill="1" applyBorder="1" applyAlignment="1">
      <alignment vertical="center"/>
    </xf>
    <xf numFmtId="166" fontId="61" fillId="40" borderId="76" xfId="0" applyNumberFormat="1" applyFont="1" applyFill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64" fillId="0" borderId="61" xfId="0" applyFont="1" applyBorder="1" applyAlignment="1">
      <alignment horizontal="center"/>
    </xf>
    <xf numFmtId="3" fontId="0" fillId="0" borderId="61" xfId="0" applyNumberFormat="1" applyBorder="1" applyAlignment="1">
      <alignment/>
    </xf>
    <xf numFmtId="3" fontId="60" fillId="0" borderId="60" xfId="0" applyNumberFormat="1" applyFont="1" applyFill="1" applyBorder="1" applyAlignment="1">
      <alignment/>
    </xf>
    <xf numFmtId="3" fontId="61" fillId="40" borderId="73" xfId="0" applyNumberFormat="1" applyFont="1" applyFill="1" applyBorder="1" applyAlignment="1">
      <alignment vertical="center"/>
    </xf>
    <xf numFmtId="3" fontId="60" fillId="0" borderId="62" xfId="0" applyNumberFormat="1" applyFont="1" applyBorder="1" applyAlignment="1">
      <alignment vertical="center"/>
    </xf>
    <xf numFmtId="3" fontId="60" fillId="0" borderId="46" xfId="0" applyNumberFormat="1" applyFont="1" applyBorder="1" applyAlignment="1">
      <alignment vertical="center"/>
    </xf>
    <xf numFmtId="3" fontId="61" fillId="40" borderId="60" xfId="0" applyNumberFormat="1" applyFont="1" applyFill="1" applyBorder="1" applyAlignment="1">
      <alignment vertical="center"/>
    </xf>
    <xf numFmtId="166" fontId="61" fillId="40" borderId="61" xfId="0" applyNumberFormat="1" applyFont="1" applyFill="1" applyBorder="1" applyAlignment="1">
      <alignment vertical="center"/>
    </xf>
    <xf numFmtId="0" fontId="55" fillId="0" borderId="87" xfId="0" applyFont="1" applyBorder="1" applyAlignment="1">
      <alignment horizontal="center" vertical="center"/>
    </xf>
    <xf numFmtId="3" fontId="61" fillId="40" borderId="92" xfId="0" applyNumberFormat="1" applyFont="1" applyFill="1" applyBorder="1" applyAlignment="1">
      <alignment vertical="center"/>
    </xf>
    <xf numFmtId="0" fontId="55" fillId="0" borderId="68" xfId="0" applyFont="1" applyBorder="1" applyAlignment="1">
      <alignment horizontal="center" vertical="center"/>
    </xf>
    <xf numFmtId="3" fontId="60" fillId="0" borderId="64" xfId="0" applyNumberFormat="1" applyFont="1" applyFill="1" applyBorder="1" applyAlignment="1">
      <alignment/>
    </xf>
    <xf numFmtId="0" fontId="55" fillId="0" borderId="76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3" fontId="61" fillId="40" borderId="84" xfId="0" applyNumberFormat="1" applyFont="1" applyFill="1" applyBorder="1" applyAlignment="1">
      <alignment vertical="center"/>
    </xf>
    <xf numFmtId="3" fontId="60" fillId="0" borderId="29" xfId="0" applyNumberFormat="1" applyFont="1" applyFill="1" applyBorder="1" applyAlignment="1">
      <alignment vertical="center"/>
    </xf>
    <xf numFmtId="3" fontId="61" fillId="40" borderId="65" xfId="0" applyNumberFormat="1" applyFont="1" applyFill="1" applyBorder="1" applyAlignment="1">
      <alignment vertical="center"/>
    </xf>
    <xf numFmtId="166" fontId="61" fillId="40" borderId="68" xfId="0" applyNumberFormat="1" applyFont="1" applyFill="1" applyBorder="1" applyAlignment="1">
      <alignment vertical="center"/>
    </xf>
    <xf numFmtId="0" fontId="61" fillId="40" borderId="51" xfId="0" applyFont="1" applyFill="1" applyBorder="1" applyAlignment="1">
      <alignment vertical="center"/>
    </xf>
    <xf numFmtId="0" fontId="55" fillId="40" borderId="68" xfId="0" applyFont="1" applyFill="1" applyBorder="1" applyAlignment="1">
      <alignment horizontal="center" vertical="center"/>
    </xf>
    <xf numFmtId="0" fontId="62" fillId="40" borderId="53" xfId="0" applyFont="1" applyFill="1" applyBorder="1" applyAlignment="1">
      <alignment horizontal="center" vertical="center"/>
    </xf>
    <xf numFmtId="3" fontId="61" fillId="40" borderId="53" xfId="0" applyNumberFormat="1" applyFont="1" applyFill="1" applyBorder="1" applyAlignment="1">
      <alignment vertical="center"/>
    </xf>
    <xf numFmtId="3" fontId="61" fillId="40" borderId="81" xfId="0" applyNumberFormat="1" applyFont="1" applyFill="1" applyBorder="1" applyAlignment="1">
      <alignment vertical="center"/>
    </xf>
    <xf numFmtId="166" fontId="61" fillId="40" borderId="53" xfId="0" applyNumberFormat="1" applyFont="1" applyFill="1" applyBorder="1" applyAlignment="1">
      <alignment vertical="center"/>
    </xf>
    <xf numFmtId="0" fontId="62" fillId="0" borderId="76" xfId="0" applyFont="1" applyBorder="1" applyAlignment="1">
      <alignment/>
    </xf>
    <xf numFmtId="0" fontId="62" fillId="0" borderId="73" xfId="0" applyFont="1" applyBorder="1" applyAlignment="1">
      <alignment/>
    </xf>
    <xf numFmtId="0" fontId="62" fillId="0" borderId="68" xfId="0" applyFont="1" applyBorder="1" applyAlignment="1">
      <alignment horizontal="center"/>
    </xf>
    <xf numFmtId="0" fontId="61" fillId="40" borderId="68" xfId="0" applyFont="1" applyFill="1" applyBorder="1" applyAlignment="1">
      <alignment/>
    </xf>
    <xf numFmtId="0" fontId="43" fillId="0" borderId="53" xfId="0" applyFont="1" applyBorder="1" applyAlignment="1">
      <alignment/>
    </xf>
    <xf numFmtId="3" fontId="61" fillId="0" borderId="65" xfId="0" applyNumberFormat="1" applyFont="1" applyFill="1" applyBorder="1" applyAlignment="1">
      <alignment/>
    </xf>
    <xf numFmtId="3" fontId="61" fillId="40" borderId="68" xfId="0" applyNumberFormat="1" applyFont="1" applyFill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0" fillId="40" borderId="51" xfId="0" applyFont="1" applyFill="1" applyBorder="1" applyAlignment="1">
      <alignment vertical="center"/>
    </xf>
    <xf numFmtId="0" fontId="61" fillId="40" borderId="53" xfId="0" applyFont="1" applyFill="1" applyBorder="1" applyAlignment="1">
      <alignment/>
    </xf>
    <xf numFmtId="0" fontId="63" fillId="40" borderId="53" xfId="0" applyFont="1" applyFill="1" applyBorder="1" applyAlignment="1">
      <alignment horizontal="center"/>
    </xf>
    <xf numFmtId="0" fontId="65" fillId="40" borderId="53" xfId="0" applyFont="1" applyFill="1" applyBorder="1" applyAlignment="1">
      <alignment horizontal="center"/>
    </xf>
    <xf numFmtId="3" fontId="61" fillId="40" borderId="5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7" fillId="44" borderId="0" xfId="0" applyFont="1" applyFill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0" fillId="45" borderId="93" xfId="0" applyFont="1" applyFill="1" applyBorder="1" applyAlignment="1">
      <alignment/>
    </xf>
    <xf numFmtId="0" fontId="41" fillId="45" borderId="94" xfId="0" applyFont="1" applyFill="1" applyBorder="1" applyAlignment="1">
      <alignment/>
    </xf>
    <xf numFmtId="0" fontId="42" fillId="45" borderId="94" xfId="0" applyFont="1" applyFill="1" applyBorder="1" applyAlignment="1">
      <alignment horizontal="center"/>
    </xf>
    <xf numFmtId="0" fontId="41" fillId="45" borderId="9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45" borderId="96" xfId="0" applyFill="1" applyBorder="1" applyAlignment="1">
      <alignment/>
    </xf>
    <xf numFmtId="0" fontId="0" fillId="45" borderId="97" xfId="0" applyFill="1" applyBorder="1" applyAlignment="1">
      <alignment/>
    </xf>
    <xf numFmtId="0" fontId="0" fillId="45" borderId="97" xfId="0" applyFill="1" applyBorder="1" applyAlignment="1">
      <alignment horizontal="center"/>
    </xf>
    <xf numFmtId="0" fontId="0" fillId="45" borderId="98" xfId="0" applyFill="1" applyBorder="1" applyAlignment="1">
      <alignment/>
    </xf>
    <xf numFmtId="0" fontId="38" fillId="44" borderId="97" xfId="0" applyFont="1" applyFill="1" applyBorder="1" applyAlignment="1">
      <alignment horizontal="center"/>
    </xf>
    <xf numFmtId="0" fontId="0" fillId="45" borderId="99" xfId="0" applyFill="1" applyBorder="1" applyAlignment="1">
      <alignment/>
    </xf>
    <xf numFmtId="0" fontId="0" fillId="45" borderId="100" xfId="0" applyFill="1" applyBorder="1" applyAlignment="1">
      <alignment/>
    </xf>
    <xf numFmtId="0" fontId="9" fillId="45" borderId="100" xfId="0" applyFont="1" applyFill="1" applyBorder="1" applyAlignment="1">
      <alignment horizontal="center"/>
    </xf>
    <xf numFmtId="0" fontId="38" fillId="46" borderId="97" xfId="0" applyFont="1" applyFill="1" applyBorder="1" applyAlignment="1">
      <alignment horizontal="center"/>
    </xf>
    <xf numFmtId="0" fontId="38" fillId="46" borderId="98" xfId="0" applyFont="1" applyFill="1" applyBorder="1" applyAlignment="1">
      <alignment horizontal="center"/>
    </xf>
    <xf numFmtId="0" fontId="44" fillId="45" borderId="101" xfId="0" applyFont="1" applyFill="1" applyBorder="1" applyAlignment="1">
      <alignment horizontal="center"/>
    </xf>
    <xf numFmtId="0" fontId="0" fillId="45" borderId="102" xfId="0" applyFont="1" applyFill="1" applyBorder="1" applyAlignment="1">
      <alignment horizontal="center"/>
    </xf>
    <xf numFmtId="0" fontId="0" fillId="45" borderId="103" xfId="0" applyFont="1" applyFill="1" applyBorder="1" applyAlignment="1">
      <alignment horizontal="center"/>
    </xf>
    <xf numFmtId="0" fontId="38" fillId="44" borderId="102" xfId="0" applyFont="1" applyFill="1" applyBorder="1" applyAlignment="1">
      <alignment horizontal="center"/>
    </xf>
    <xf numFmtId="0" fontId="0" fillId="45" borderId="104" xfId="0" applyFont="1" applyFill="1" applyBorder="1" applyAlignment="1">
      <alignment horizontal="center"/>
    </xf>
    <xf numFmtId="0" fontId="0" fillId="45" borderId="105" xfId="0" applyFont="1" applyFill="1" applyBorder="1" applyAlignment="1">
      <alignment horizontal="center"/>
    </xf>
    <xf numFmtId="0" fontId="38" fillId="46" borderId="102" xfId="0" applyFont="1" applyFill="1" applyBorder="1" applyAlignment="1">
      <alignment horizontal="center"/>
    </xf>
    <xf numFmtId="0" fontId="38" fillId="46" borderId="103" xfId="0" applyFont="1" applyFill="1" applyBorder="1" applyAlignment="1">
      <alignment horizontal="center"/>
    </xf>
    <xf numFmtId="0" fontId="44" fillId="0" borderId="106" xfId="0" applyFont="1" applyBorder="1" applyAlignment="1">
      <alignment/>
    </xf>
    <xf numFmtId="0" fontId="0" fillId="0" borderId="107" xfId="0" applyBorder="1" applyAlignment="1">
      <alignment/>
    </xf>
    <xf numFmtId="165" fontId="0" fillId="0" borderId="107" xfId="0" applyNumberFormat="1" applyBorder="1" applyAlignment="1">
      <alignment/>
    </xf>
    <xf numFmtId="165" fontId="0" fillId="0" borderId="108" xfId="0" applyNumberFormat="1" applyFill="1" applyBorder="1" applyAlignment="1">
      <alignment horizontal="center"/>
    </xf>
    <xf numFmtId="165" fontId="0" fillId="0" borderId="97" xfId="0" applyNumberFormat="1" applyFill="1" applyBorder="1" applyAlignment="1">
      <alignment/>
    </xf>
    <xf numFmtId="165" fontId="0" fillId="0" borderId="109" xfId="0" applyNumberFormat="1" applyFill="1" applyBorder="1" applyAlignment="1" applyProtection="1">
      <alignment/>
      <protection locked="0"/>
    </xf>
    <xf numFmtId="165" fontId="38" fillId="44" borderId="107" xfId="0" applyNumberFormat="1" applyFont="1" applyFill="1" applyBorder="1" applyAlignment="1">
      <alignment horizontal="right"/>
    </xf>
    <xf numFmtId="165" fontId="0" fillId="0" borderId="110" xfId="0" applyNumberFormat="1" applyBorder="1" applyAlignment="1" applyProtection="1">
      <alignment/>
      <protection locked="0"/>
    </xf>
    <xf numFmtId="165" fontId="0" fillId="0" borderId="109" xfId="0" applyNumberFormat="1" applyBorder="1" applyAlignment="1" applyProtection="1">
      <alignment/>
      <protection locked="0"/>
    </xf>
    <xf numFmtId="165" fontId="0" fillId="0" borderId="111" xfId="0" applyNumberFormat="1" applyBorder="1" applyAlignment="1" applyProtection="1">
      <alignment/>
      <protection locked="0"/>
    </xf>
    <xf numFmtId="165" fontId="0" fillId="0" borderId="111" xfId="0" applyNumberFormat="1" applyFill="1" applyBorder="1" applyAlignment="1" applyProtection="1">
      <alignment/>
      <protection locked="0"/>
    </xf>
    <xf numFmtId="165" fontId="38" fillId="46" borderId="112" xfId="0" applyNumberFormat="1" applyFont="1" applyFill="1" applyBorder="1" applyAlignment="1">
      <alignment horizontal="center"/>
    </xf>
    <xf numFmtId="3" fontId="38" fillId="46" borderId="113" xfId="0" applyNumberFormat="1" applyFont="1" applyFill="1" applyBorder="1" applyAlignment="1">
      <alignment horizontal="center"/>
    </xf>
    <xf numFmtId="0" fontId="44" fillId="0" borderId="114" xfId="0" applyFont="1" applyBorder="1" applyAlignment="1">
      <alignment/>
    </xf>
    <xf numFmtId="0" fontId="0" fillId="0" borderId="115" xfId="0" applyBorder="1" applyAlignment="1">
      <alignment/>
    </xf>
    <xf numFmtId="165" fontId="0" fillId="0" borderId="115" xfId="0" applyNumberFormat="1" applyBorder="1" applyAlignment="1">
      <alignment/>
    </xf>
    <xf numFmtId="165" fontId="0" fillId="0" borderId="116" xfId="0" applyNumberFormat="1" applyBorder="1" applyAlignment="1">
      <alignment horizontal="center"/>
    </xf>
    <xf numFmtId="165" fontId="0" fillId="0" borderId="116" xfId="0" applyNumberFormat="1" applyBorder="1" applyAlignment="1" applyProtection="1">
      <alignment/>
      <protection locked="0"/>
    </xf>
    <xf numFmtId="165" fontId="38" fillId="44" borderId="115" xfId="0" applyNumberFormat="1" applyFont="1" applyFill="1" applyBorder="1" applyAlignment="1">
      <alignment horizontal="right"/>
    </xf>
    <xf numFmtId="165" fontId="0" fillId="0" borderId="105" xfId="0" applyNumberFormat="1" applyBorder="1" applyAlignment="1" applyProtection="1">
      <alignment/>
      <protection locked="0"/>
    </xf>
    <xf numFmtId="165" fontId="0" fillId="0" borderId="117" xfId="0" applyNumberFormat="1" applyBorder="1" applyAlignment="1" applyProtection="1">
      <alignment/>
      <protection locked="0"/>
    </xf>
    <xf numFmtId="165" fontId="38" fillId="46" borderId="115" xfId="0" applyNumberFormat="1" applyFont="1" applyFill="1" applyBorder="1" applyAlignment="1">
      <alignment/>
    </xf>
    <xf numFmtId="3" fontId="38" fillId="46" borderId="118" xfId="0" applyNumberFormat="1" applyFont="1" applyFill="1" applyBorder="1" applyAlignment="1">
      <alignment horizontal="center"/>
    </xf>
    <xf numFmtId="0" fontId="44" fillId="0" borderId="119" xfId="0" applyFont="1" applyBorder="1" applyAlignment="1">
      <alignment/>
    </xf>
    <xf numFmtId="0" fontId="0" fillId="0" borderId="107" xfId="0" applyFont="1" applyBorder="1" applyAlignment="1">
      <alignment horizontal="center"/>
    </xf>
    <xf numFmtId="3" fontId="0" fillId="0" borderId="107" xfId="0" applyNumberFormat="1" applyBorder="1" applyAlignment="1">
      <alignment/>
    </xf>
    <xf numFmtId="3" fontId="0" fillId="0" borderId="120" xfId="0" applyNumberFormat="1" applyFont="1" applyBorder="1" applyAlignment="1">
      <alignment horizontal="center"/>
    </xf>
    <xf numFmtId="0" fontId="0" fillId="0" borderId="121" xfId="0" applyBorder="1" applyAlignment="1">
      <alignment/>
    </xf>
    <xf numFmtId="0" fontId="0" fillId="0" borderId="120" xfId="0" applyBorder="1" applyAlignment="1" applyProtection="1">
      <alignment/>
      <protection locked="0"/>
    </xf>
    <xf numFmtId="3" fontId="38" fillId="44" borderId="107" xfId="0" applyNumberFormat="1" applyFont="1" applyFill="1" applyBorder="1" applyAlignment="1">
      <alignment horizontal="center"/>
    </xf>
    <xf numFmtId="3" fontId="0" fillId="0" borderId="120" xfId="0" applyNumberFormat="1" applyBorder="1" applyAlignment="1" applyProtection="1">
      <alignment/>
      <protection locked="0"/>
    </xf>
    <xf numFmtId="3" fontId="0" fillId="0" borderId="122" xfId="0" applyNumberFormat="1" applyBorder="1" applyAlignment="1" applyProtection="1">
      <alignment/>
      <protection locked="0"/>
    </xf>
    <xf numFmtId="3" fontId="0" fillId="0" borderId="123" xfId="0" applyNumberFormat="1" applyBorder="1" applyAlignment="1" applyProtection="1">
      <alignment/>
      <protection locked="0"/>
    </xf>
    <xf numFmtId="0" fontId="0" fillId="0" borderId="122" xfId="0" applyBorder="1" applyAlignment="1" applyProtection="1">
      <alignment/>
      <protection locked="0"/>
    </xf>
    <xf numFmtId="3" fontId="38" fillId="46" borderId="121" xfId="0" applyNumberFormat="1" applyFont="1" applyFill="1" applyBorder="1" applyAlignment="1">
      <alignment horizontal="center"/>
    </xf>
    <xf numFmtId="3" fontId="38" fillId="46" borderId="124" xfId="0" applyNumberFormat="1" applyFont="1" applyFill="1" applyBorder="1" applyAlignment="1">
      <alignment horizontal="center"/>
    </xf>
    <xf numFmtId="0" fontId="44" fillId="0" borderId="125" xfId="0" applyFont="1" applyBorder="1" applyAlignment="1">
      <alignment/>
    </xf>
    <xf numFmtId="0" fontId="0" fillId="0" borderId="121" xfId="0" applyFont="1" applyBorder="1" applyAlignment="1">
      <alignment horizontal="center"/>
    </xf>
    <xf numFmtId="3" fontId="0" fillId="0" borderId="121" xfId="0" applyNumberFormat="1" applyBorder="1" applyAlignment="1">
      <alignment/>
    </xf>
    <xf numFmtId="3" fontId="38" fillId="44" borderId="121" xfId="0" applyNumberFormat="1" applyFont="1" applyFill="1" applyBorder="1" applyAlignment="1">
      <alignment horizontal="center"/>
    </xf>
    <xf numFmtId="3" fontId="0" fillId="0" borderId="126" xfId="0" applyNumberFormat="1" applyBorder="1" applyAlignment="1" applyProtection="1">
      <alignment/>
      <protection locked="0"/>
    </xf>
    <xf numFmtId="3" fontId="0" fillId="0" borderId="127" xfId="0" applyNumberFormat="1" applyBorder="1" applyAlignment="1" applyProtection="1">
      <alignment/>
      <protection locked="0"/>
    </xf>
    <xf numFmtId="3" fontId="0" fillId="0" borderId="128" xfId="0" applyNumberFormat="1" applyBorder="1" applyAlignment="1" applyProtection="1">
      <alignment/>
      <protection locked="0"/>
    </xf>
    <xf numFmtId="0" fontId="0" fillId="0" borderId="129" xfId="0" applyFont="1" applyBorder="1" applyAlignment="1">
      <alignment horizontal="center"/>
    </xf>
    <xf numFmtId="3" fontId="0" fillId="0" borderId="129" xfId="0" applyNumberFormat="1" applyBorder="1" applyAlignment="1">
      <alignment/>
    </xf>
    <xf numFmtId="3" fontId="0" fillId="0" borderId="108" xfId="0" applyNumberFormat="1" applyFont="1" applyFill="1" applyBorder="1" applyAlignment="1">
      <alignment horizontal="center"/>
    </xf>
    <xf numFmtId="0" fontId="0" fillId="0" borderId="112" xfId="0" applyFill="1" applyBorder="1" applyAlignment="1">
      <alignment/>
    </xf>
    <xf numFmtId="0" fontId="0" fillId="0" borderId="109" xfId="0" applyFill="1" applyBorder="1" applyAlignment="1" applyProtection="1">
      <alignment/>
      <protection locked="0"/>
    </xf>
    <xf numFmtId="3" fontId="38" fillId="44" borderId="129" xfId="0" applyNumberFormat="1" applyFont="1" applyFill="1" applyBorder="1" applyAlignment="1">
      <alignment horizontal="center"/>
    </xf>
    <xf numFmtId="3" fontId="0" fillId="0" borderId="111" xfId="0" applyNumberFormat="1" applyBorder="1" applyAlignment="1" applyProtection="1">
      <alignment/>
      <protection locked="0"/>
    </xf>
    <xf numFmtId="3" fontId="0" fillId="0" borderId="109" xfId="0" applyNumberFormat="1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11" xfId="0" applyFill="1" applyBorder="1" applyAlignment="1" applyProtection="1">
      <alignment/>
      <protection locked="0"/>
    </xf>
    <xf numFmtId="3" fontId="38" fillId="46" borderId="112" xfId="0" applyNumberFormat="1" applyFont="1" applyFill="1" applyBorder="1" applyAlignment="1">
      <alignment horizontal="center"/>
    </xf>
    <xf numFmtId="0" fontId="44" fillId="46" borderId="93" xfId="0" applyFont="1" applyFill="1" applyBorder="1" applyAlignment="1">
      <alignment/>
    </xf>
    <xf numFmtId="0" fontId="38" fillId="46" borderId="130" xfId="0" applyFont="1" applyFill="1" applyBorder="1" applyAlignment="1">
      <alignment horizontal="center"/>
    </xf>
    <xf numFmtId="3" fontId="38" fillId="46" borderId="130" xfId="0" applyNumberFormat="1" applyFont="1" applyFill="1" applyBorder="1" applyAlignment="1">
      <alignment/>
    </xf>
    <xf numFmtId="3" fontId="38" fillId="46" borderId="94" xfId="0" applyNumberFormat="1" applyFont="1" applyFill="1" applyBorder="1" applyAlignment="1">
      <alignment horizontal="center"/>
    </xf>
    <xf numFmtId="0" fontId="38" fillId="46" borderId="130" xfId="0" applyFont="1" applyFill="1" applyBorder="1" applyAlignment="1">
      <alignment/>
    </xf>
    <xf numFmtId="0" fontId="38" fillId="46" borderId="94" xfId="0" applyFont="1" applyFill="1" applyBorder="1" applyAlignment="1" applyProtection="1">
      <alignment/>
      <protection locked="0"/>
    </xf>
    <xf numFmtId="3" fontId="38" fillId="44" borderId="130" xfId="0" applyNumberFormat="1" applyFont="1" applyFill="1" applyBorder="1" applyAlignment="1">
      <alignment horizontal="center"/>
    </xf>
    <xf numFmtId="3" fontId="38" fillId="46" borderId="94" xfId="0" applyNumberFormat="1" applyFont="1" applyFill="1" applyBorder="1" applyAlignment="1" applyProtection="1">
      <alignment/>
      <protection locked="0"/>
    </xf>
    <xf numFmtId="3" fontId="38" fillId="46" borderId="131" xfId="0" applyNumberFormat="1" applyFont="1" applyFill="1" applyBorder="1" applyAlignment="1" applyProtection="1">
      <alignment/>
      <protection locked="0"/>
    </xf>
    <xf numFmtId="3" fontId="38" fillId="46" borderId="132" xfId="0" applyNumberFormat="1" applyFont="1" applyFill="1" applyBorder="1" applyAlignment="1" applyProtection="1">
      <alignment/>
      <protection locked="0"/>
    </xf>
    <xf numFmtId="3" fontId="38" fillId="46" borderId="131" xfId="0" applyNumberFormat="1" applyFont="1" applyFill="1" applyBorder="1" applyAlignment="1" applyProtection="1">
      <alignment/>
      <protection locked="0"/>
    </xf>
    <xf numFmtId="0" fontId="38" fillId="46" borderId="131" xfId="0" applyFont="1" applyFill="1" applyBorder="1" applyAlignment="1" applyProtection="1">
      <alignment/>
      <protection locked="0"/>
    </xf>
    <xf numFmtId="3" fontId="38" fillId="46" borderId="130" xfId="0" applyNumberFormat="1" applyFont="1" applyFill="1" applyBorder="1" applyAlignment="1">
      <alignment horizontal="center"/>
    </xf>
    <xf numFmtId="3" fontId="38" fillId="46" borderId="95" xfId="0" applyNumberFormat="1" applyFont="1" applyFill="1" applyBorder="1" applyAlignment="1">
      <alignment horizontal="center"/>
    </xf>
    <xf numFmtId="0" fontId="0" fillId="0" borderId="115" xfId="0" applyFont="1" applyBorder="1" applyAlignment="1">
      <alignment horizontal="center"/>
    </xf>
    <xf numFmtId="3" fontId="0" fillId="0" borderId="115" xfId="0" applyNumberFormat="1" applyBorder="1" applyAlignment="1">
      <alignment/>
    </xf>
    <xf numFmtId="3" fontId="0" fillId="0" borderId="114" xfId="0" applyNumberFormat="1" applyFont="1" applyBorder="1" applyAlignment="1">
      <alignment horizontal="center"/>
    </xf>
    <xf numFmtId="3" fontId="38" fillId="44" borderId="115" xfId="0" applyNumberFormat="1" applyFont="1" applyFill="1" applyBorder="1" applyAlignment="1">
      <alignment horizontal="center"/>
    </xf>
    <xf numFmtId="3" fontId="38" fillId="46" borderId="129" xfId="0" applyNumberFormat="1" applyFont="1" applyFill="1" applyBorder="1" applyAlignment="1">
      <alignment horizontal="center"/>
    </xf>
    <xf numFmtId="3" fontId="38" fillId="46" borderId="133" xfId="0" applyNumberFormat="1" applyFont="1" applyFill="1" applyBorder="1" applyAlignment="1">
      <alignment horizontal="center"/>
    </xf>
    <xf numFmtId="0" fontId="44" fillId="0" borderId="107" xfId="0" applyFont="1" applyBorder="1" applyAlignment="1">
      <alignment/>
    </xf>
    <xf numFmtId="3" fontId="45" fillId="0" borderId="107" xfId="0" applyNumberFormat="1" applyFont="1" applyFill="1" applyBorder="1" applyAlignment="1">
      <alignment horizontal="center"/>
    </xf>
    <xf numFmtId="3" fontId="45" fillId="0" borderId="134" xfId="0" applyNumberFormat="1" applyFont="1" applyFill="1" applyBorder="1" applyAlignment="1" applyProtection="1">
      <alignment/>
      <protection locked="0"/>
    </xf>
    <xf numFmtId="0" fontId="0" fillId="0" borderId="100" xfId="0" applyBorder="1" applyAlignment="1" applyProtection="1">
      <alignment/>
      <protection locked="0"/>
    </xf>
    <xf numFmtId="3" fontId="46" fillId="44" borderId="107" xfId="0" applyNumberFormat="1" applyFont="1" applyFill="1" applyBorder="1" applyAlignment="1" applyProtection="1">
      <alignment/>
      <protection locked="0"/>
    </xf>
    <xf numFmtId="1" fontId="0" fillId="0" borderId="100" xfId="0" applyNumberFormat="1" applyBorder="1" applyAlignment="1" applyProtection="1">
      <alignment/>
      <protection locked="0"/>
    </xf>
    <xf numFmtId="1" fontId="0" fillId="0" borderId="135" xfId="0" applyNumberFormat="1" applyBorder="1" applyAlignment="1" applyProtection="1">
      <alignment/>
      <protection locked="0"/>
    </xf>
    <xf numFmtId="0" fontId="0" fillId="0" borderId="135" xfId="0" applyBorder="1" applyAlignment="1" applyProtection="1">
      <alignment/>
      <protection locked="0"/>
    </xf>
    <xf numFmtId="3" fontId="46" fillId="46" borderId="99" xfId="0" applyNumberFormat="1" applyFont="1" applyFill="1" applyBorder="1" applyAlignment="1">
      <alignment/>
    </xf>
    <xf numFmtId="166" fontId="46" fillId="46" borderId="134" xfId="0" applyNumberFormat="1" applyFont="1" applyFill="1" applyBorder="1" applyAlignment="1">
      <alignment horizontal="center"/>
    </xf>
    <xf numFmtId="3" fontId="45" fillId="0" borderId="121" xfId="0" applyNumberFormat="1" applyFont="1" applyFill="1" applyBorder="1" applyAlignment="1">
      <alignment horizontal="center"/>
    </xf>
    <xf numFmtId="3" fontId="45" fillId="0" borderId="121" xfId="0" applyNumberFormat="1" applyFont="1" applyFill="1" applyBorder="1" applyAlignment="1" applyProtection="1">
      <alignment/>
      <protection locked="0"/>
    </xf>
    <xf numFmtId="3" fontId="46" fillId="44" borderId="121" xfId="0" applyNumberFormat="1" applyFont="1" applyFill="1" applyBorder="1" applyAlignment="1" applyProtection="1">
      <alignment/>
      <protection locked="0"/>
    </xf>
    <xf numFmtId="1" fontId="0" fillId="0" borderId="120" xfId="0" applyNumberFormat="1" applyBorder="1" applyAlignment="1" applyProtection="1">
      <alignment/>
      <protection locked="0"/>
    </xf>
    <xf numFmtId="1" fontId="0" fillId="0" borderId="122" xfId="0" applyNumberFormat="1" applyBorder="1" applyAlignment="1" applyProtection="1">
      <alignment/>
      <protection locked="0"/>
    </xf>
    <xf numFmtId="3" fontId="46" fillId="46" borderId="125" xfId="0" applyNumberFormat="1" applyFont="1" applyFill="1" applyBorder="1" applyAlignment="1">
      <alignment/>
    </xf>
    <xf numFmtId="166" fontId="46" fillId="46" borderId="121" xfId="0" applyNumberFormat="1" applyFont="1" applyFill="1" applyBorder="1" applyAlignment="1">
      <alignment horizontal="center"/>
    </xf>
    <xf numFmtId="3" fontId="45" fillId="0" borderId="115" xfId="0" applyNumberFormat="1" applyFont="1" applyFill="1" applyBorder="1" applyAlignment="1">
      <alignment horizontal="center"/>
    </xf>
    <xf numFmtId="3" fontId="45" fillId="0" borderId="115" xfId="0" applyNumberFormat="1" applyFont="1" applyFill="1" applyBorder="1" applyAlignment="1" applyProtection="1">
      <alignment/>
      <protection locked="0"/>
    </xf>
    <xf numFmtId="3" fontId="46" fillId="44" borderId="115" xfId="0" applyNumberFormat="1" applyFont="1" applyFill="1" applyBorder="1" applyAlignment="1" applyProtection="1">
      <alignment/>
      <protection locked="0"/>
    </xf>
    <xf numFmtId="1" fontId="0" fillId="0" borderId="111" xfId="0" applyNumberFormat="1" applyBorder="1" applyAlignment="1" applyProtection="1">
      <alignment/>
      <protection locked="0"/>
    </xf>
    <xf numFmtId="3" fontId="46" fillId="46" borderId="101" xfId="0" applyNumberFormat="1" applyFont="1" applyFill="1" applyBorder="1" applyAlignment="1">
      <alignment/>
    </xf>
    <xf numFmtId="166" fontId="46" fillId="46" borderId="115" xfId="0" applyNumberFormat="1" applyFont="1" applyFill="1" applyBorder="1" applyAlignment="1">
      <alignment horizontal="center"/>
    </xf>
    <xf numFmtId="3" fontId="45" fillId="0" borderId="107" xfId="0" applyNumberFormat="1" applyFont="1" applyFill="1" applyBorder="1" applyAlignment="1" applyProtection="1">
      <alignment/>
      <protection locked="0"/>
    </xf>
    <xf numFmtId="0" fontId="0" fillId="0" borderId="136" xfId="0" applyBorder="1" applyAlignment="1" applyProtection="1">
      <alignment/>
      <protection locked="0"/>
    </xf>
    <xf numFmtId="3" fontId="46" fillId="44" borderId="119" xfId="0" applyNumberFormat="1" applyFont="1" applyFill="1" applyBorder="1" applyAlignment="1" applyProtection="1">
      <alignment/>
      <protection locked="0"/>
    </xf>
    <xf numFmtId="1" fontId="0" fillId="0" borderId="110" xfId="0" applyNumberFormat="1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3" fontId="46" fillId="46" borderId="120" xfId="0" applyNumberFormat="1" applyFont="1" applyFill="1" applyBorder="1" applyAlignment="1">
      <alignment/>
    </xf>
    <xf numFmtId="166" fontId="46" fillId="46" borderId="107" xfId="0" applyNumberFormat="1" applyFont="1" applyFill="1" applyBorder="1" applyAlignment="1">
      <alignment horizontal="center"/>
    </xf>
    <xf numFmtId="0" fontId="0" fillId="0" borderId="124" xfId="0" applyBorder="1" applyAlignment="1" applyProtection="1">
      <alignment/>
      <protection locked="0"/>
    </xf>
    <xf numFmtId="3" fontId="46" fillId="44" borderId="125" xfId="0" applyNumberFormat="1" applyFont="1" applyFill="1" applyBorder="1" applyAlignment="1" applyProtection="1">
      <alignment/>
      <protection locked="0"/>
    </xf>
    <xf numFmtId="1" fontId="0" fillId="0" borderId="125" xfId="0" applyNumberFormat="1" applyBorder="1" applyAlignment="1" applyProtection="1">
      <alignment/>
      <protection locked="0"/>
    </xf>
    <xf numFmtId="0" fontId="47" fillId="0" borderId="121" xfId="0" applyFont="1" applyBorder="1" applyAlignment="1">
      <alignment horizontal="center"/>
    </xf>
    <xf numFmtId="0" fontId="0" fillId="0" borderId="125" xfId="0" applyBorder="1" applyAlignment="1" applyProtection="1">
      <alignment/>
      <protection locked="0"/>
    </xf>
    <xf numFmtId="3" fontId="45" fillId="0" borderId="129" xfId="0" applyNumberFormat="1" applyFont="1" applyFill="1" applyBorder="1" applyAlignment="1">
      <alignment horizontal="center"/>
    </xf>
    <xf numFmtId="3" fontId="45" fillId="0" borderId="129" xfId="0" applyNumberFormat="1" applyFont="1" applyFill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locked="0"/>
    </xf>
    <xf numFmtId="3" fontId="46" fillId="44" borderId="138" xfId="0" applyNumberFormat="1" applyFont="1" applyFill="1" applyBorder="1" applyAlignment="1" applyProtection="1">
      <alignment/>
      <protection locked="0"/>
    </xf>
    <xf numFmtId="1" fontId="0" fillId="0" borderId="101" xfId="0" applyNumberFormat="1" applyFill="1" applyBorder="1" applyAlignment="1" applyProtection="1">
      <alignment/>
      <protection locked="0"/>
    </xf>
    <xf numFmtId="0" fontId="0" fillId="0" borderId="139" xfId="0" applyBorder="1" applyAlignment="1" applyProtection="1">
      <alignment/>
      <protection locked="0"/>
    </xf>
    <xf numFmtId="49" fontId="0" fillId="0" borderId="139" xfId="0" applyNumberFormat="1" applyBorder="1" applyAlignment="1" applyProtection="1">
      <alignment horizontal="right"/>
      <protection locked="0"/>
    </xf>
    <xf numFmtId="0" fontId="0" fillId="0" borderId="140" xfId="0" applyFill="1" applyBorder="1" applyAlignment="1" applyProtection="1">
      <alignment/>
      <protection locked="0"/>
    </xf>
    <xf numFmtId="3" fontId="46" fillId="46" borderId="141" xfId="0" applyNumberFormat="1" applyFont="1" applyFill="1" applyBorder="1" applyAlignment="1">
      <alignment/>
    </xf>
    <xf numFmtId="166" fontId="46" fillId="46" borderId="129" xfId="0" applyNumberFormat="1" applyFont="1" applyFill="1" applyBorder="1" applyAlignment="1">
      <alignment horizontal="center"/>
    </xf>
    <xf numFmtId="0" fontId="48" fillId="46" borderId="93" xfId="0" applyFont="1" applyFill="1" applyBorder="1" applyAlignment="1">
      <alignment/>
    </xf>
    <xf numFmtId="0" fontId="46" fillId="46" borderId="130" xfId="0" applyFont="1" applyFill="1" applyBorder="1" applyAlignment="1">
      <alignment horizontal="center"/>
    </xf>
    <xf numFmtId="3" fontId="46" fillId="46" borderId="130" xfId="0" applyNumberFormat="1" applyFont="1" applyFill="1" applyBorder="1" applyAlignment="1">
      <alignment/>
    </xf>
    <xf numFmtId="3" fontId="46" fillId="46" borderId="130" xfId="0" applyNumberFormat="1" applyFont="1" applyFill="1" applyBorder="1" applyAlignment="1">
      <alignment horizontal="center"/>
    </xf>
    <xf numFmtId="3" fontId="46" fillId="46" borderId="130" xfId="0" applyNumberFormat="1" applyFont="1" applyFill="1" applyBorder="1" applyAlignment="1" applyProtection="1">
      <alignment/>
      <protection locked="0"/>
    </xf>
    <xf numFmtId="3" fontId="46" fillId="46" borderId="95" xfId="0" applyNumberFormat="1" applyFont="1" applyFill="1" applyBorder="1" applyAlignment="1" applyProtection="1">
      <alignment/>
      <protection locked="0"/>
    </xf>
    <xf numFmtId="3" fontId="46" fillId="44" borderId="130" xfId="0" applyNumberFormat="1" applyFont="1" applyFill="1" applyBorder="1" applyAlignment="1" applyProtection="1">
      <alignment/>
      <protection/>
    </xf>
    <xf numFmtId="3" fontId="46" fillId="46" borderId="94" xfId="0" applyNumberFormat="1" applyFont="1" applyFill="1" applyBorder="1" applyAlignment="1">
      <alignment/>
    </xf>
    <xf numFmtId="3" fontId="46" fillId="46" borderId="131" xfId="0" applyNumberFormat="1" applyFont="1" applyFill="1" applyBorder="1" applyAlignment="1">
      <alignment/>
    </xf>
    <xf numFmtId="3" fontId="46" fillId="46" borderId="132" xfId="0" applyNumberFormat="1" applyFont="1" applyFill="1" applyBorder="1" applyAlignment="1">
      <alignment/>
    </xf>
    <xf numFmtId="3" fontId="46" fillId="46" borderId="93" xfId="0" applyNumberFormat="1" applyFont="1" applyFill="1" applyBorder="1" applyAlignment="1">
      <alignment/>
    </xf>
    <xf numFmtId="166" fontId="46" fillId="46" borderId="130" xfId="0" applyNumberFormat="1" applyFont="1" applyFill="1" applyBorder="1" applyAlignment="1">
      <alignment horizontal="center"/>
    </xf>
    <xf numFmtId="3" fontId="45" fillId="0" borderId="119" xfId="0" applyNumberFormat="1" applyFont="1" applyFill="1" applyBorder="1" applyAlignment="1" applyProtection="1">
      <alignment/>
      <protection locked="0"/>
    </xf>
    <xf numFmtId="3" fontId="46" fillId="46" borderId="119" xfId="0" applyNumberFormat="1" applyFont="1" applyFill="1" applyBorder="1" applyAlignment="1">
      <alignment/>
    </xf>
    <xf numFmtId="3" fontId="45" fillId="0" borderId="125" xfId="0" applyNumberFormat="1" applyFont="1" applyFill="1" applyBorder="1" applyAlignment="1" applyProtection="1">
      <alignment/>
      <protection locked="0"/>
    </xf>
    <xf numFmtId="1" fontId="0" fillId="0" borderId="120" xfId="0" applyNumberFormat="1" applyFont="1" applyBorder="1" applyAlignment="1" applyProtection="1">
      <alignment horizontal="right"/>
      <protection locked="0"/>
    </xf>
    <xf numFmtId="3" fontId="45" fillId="0" borderId="138" xfId="0" applyNumberFormat="1" applyFont="1" applyFill="1" applyBorder="1" applyAlignment="1" applyProtection="1">
      <alignment/>
      <protection locked="0"/>
    </xf>
    <xf numFmtId="3" fontId="46" fillId="44" borderId="129" xfId="0" applyNumberFormat="1" applyFont="1" applyFill="1" applyBorder="1" applyAlignment="1" applyProtection="1">
      <alignment/>
      <protection locked="0"/>
    </xf>
    <xf numFmtId="1" fontId="0" fillId="0" borderId="106" xfId="0" applyNumberFormat="1" applyFill="1" applyBorder="1" applyAlignment="1" applyProtection="1">
      <alignment/>
      <protection locked="0"/>
    </xf>
    <xf numFmtId="3" fontId="46" fillId="46" borderId="93" xfId="0" applyNumberFormat="1" applyFont="1" applyFill="1" applyBorder="1" applyAlignment="1" applyProtection="1">
      <alignment/>
      <protection locked="0"/>
    </xf>
    <xf numFmtId="3" fontId="46" fillId="44" borderId="131" xfId="0" applyNumberFormat="1" applyFont="1" applyFill="1" applyBorder="1" applyAlignment="1" applyProtection="1">
      <alignment/>
      <protection/>
    </xf>
    <xf numFmtId="0" fontId="0" fillId="0" borderId="112" xfId="0" applyBorder="1" applyAlignment="1">
      <alignment/>
    </xf>
    <xf numFmtId="3" fontId="0" fillId="0" borderId="112" xfId="0" applyNumberFormat="1" applyBorder="1" applyAlignment="1">
      <alignment/>
    </xf>
    <xf numFmtId="3" fontId="46" fillId="0" borderId="112" xfId="0" applyNumberFormat="1" applyFont="1" applyFill="1" applyBorder="1" applyAlignment="1">
      <alignment horizontal="center"/>
    </xf>
    <xf numFmtId="3" fontId="46" fillId="0" borderId="106" xfId="0" applyNumberFormat="1" applyFont="1" applyFill="1" applyBorder="1" applyAlignment="1" applyProtection="1">
      <alignment/>
      <protection locked="0"/>
    </xf>
    <xf numFmtId="3" fontId="46" fillId="0" borderId="112" xfId="0" applyNumberFormat="1" applyFont="1" applyFill="1" applyBorder="1" applyAlignment="1" applyProtection="1">
      <alignment/>
      <protection locked="0"/>
    </xf>
    <xf numFmtId="3" fontId="46" fillId="0" borderId="130" xfId="0" applyNumberFormat="1" applyFont="1" applyFill="1" applyBorder="1" applyAlignment="1" applyProtection="1">
      <alignment/>
      <protection locked="0"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46" fillId="0" borderId="130" xfId="0" applyNumberFormat="1" applyFont="1" applyFill="1" applyBorder="1" applyAlignment="1">
      <alignment/>
    </xf>
    <xf numFmtId="166" fontId="46" fillId="0" borderId="95" xfId="0" applyNumberFormat="1" applyFont="1" applyFill="1" applyBorder="1" applyAlignment="1">
      <alignment horizontal="center"/>
    </xf>
    <xf numFmtId="0" fontId="48" fillId="46" borderId="96" xfId="0" applyFont="1" applyFill="1" applyBorder="1" applyAlignment="1">
      <alignment/>
    </xf>
    <xf numFmtId="3" fontId="46" fillId="46" borderId="142" xfId="0" applyNumberFormat="1" applyFont="1" applyFill="1" applyBorder="1" applyAlignment="1">
      <alignment/>
    </xf>
    <xf numFmtId="0" fontId="48" fillId="46" borderId="101" xfId="0" applyFont="1" applyFill="1" applyBorder="1" applyAlignment="1">
      <alignment/>
    </xf>
    <xf numFmtId="0" fontId="46" fillId="46" borderId="102" xfId="0" applyFont="1" applyFill="1" applyBorder="1" applyAlignment="1">
      <alignment horizontal="center"/>
    </xf>
    <xf numFmtId="3" fontId="46" fillId="46" borderId="102" xfId="0" applyNumberFormat="1" applyFont="1" applyFill="1" applyBorder="1" applyAlignment="1">
      <alignment/>
    </xf>
    <xf numFmtId="3" fontId="46" fillId="46" borderId="102" xfId="0" applyNumberFormat="1" applyFont="1" applyFill="1" applyBorder="1" applyAlignment="1">
      <alignment horizontal="center"/>
    </xf>
    <xf numFmtId="3" fontId="46" fillId="46" borderId="101" xfId="0" applyNumberFormat="1" applyFont="1" applyFill="1" applyBorder="1" applyAlignment="1" applyProtection="1">
      <alignment/>
      <protection locked="0"/>
    </xf>
    <xf numFmtId="3" fontId="46" fillId="46" borderId="102" xfId="0" applyNumberFormat="1" applyFont="1" applyFill="1" applyBorder="1" applyAlignment="1" applyProtection="1">
      <alignment/>
      <protection locked="0"/>
    </xf>
    <xf numFmtId="0" fontId="48" fillId="46" borderId="0" xfId="0" applyFont="1" applyFill="1" applyBorder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K27" sqref="K27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08" t="s">
        <v>3</v>
      </c>
      <c r="B6" s="309"/>
      <c r="C6" s="310"/>
      <c r="D6" s="310"/>
      <c r="E6" s="310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11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12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278551</v>
      </c>
      <c r="D11" s="14">
        <v>277976.2</v>
      </c>
      <c r="E11" s="15">
        <v>253147.8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59076.1</v>
      </c>
      <c r="D12" s="17">
        <v>61140.5</v>
      </c>
      <c r="E12" s="18">
        <v>65413.1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12871</v>
      </c>
      <c r="D13" s="17">
        <v>12871</v>
      </c>
      <c r="E13" s="18">
        <v>5106.1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84439</v>
      </c>
      <c r="D14" s="17">
        <v>89019.5</v>
      </c>
      <c r="E14" s="18">
        <f>485884.2-439662.9</f>
        <v>46221.29999999999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434937.1</v>
      </c>
      <c r="D15" s="21">
        <f>SUM(D11:D14)</f>
        <v>441007.2</v>
      </c>
      <c r="E15" s="22">
        <f>SUM(E11:E14)</f>
        <v>369888.29999999993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355833.5</v>
      </c>
      <c r="D17" s="17">
        <v>393751.6</v>
      </c>
      <c r="E17" s="18">
        <f>737668-439662.9</f>
        <v>298005.1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136705</v>
      </c>
      <c r="D18" s="17">
        <v>154221.8</v>
      </c>
      <c r="E18" s="18">
        <v>31713.4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492538.5</v>
      </c>
      <c r="D19" s="21">
        <f>SUM(D17:D18)</f>
        <v>547973.3999999999</v>
      </c>
      <c r="E19" s="22">
        <f>SUM(E17:E18)</f>
        <v>329718.5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>
        <v>40169.8</v>
      </c>
    </row>
    <row r="23" spans="2:5" ht="15" customHeight="1" thickBot="1">
      <c r="B23" s="35" t="s">
        <v>20</v>
      </c>
      <c r="C23" s="36">
        <v>57601.4</v>
      </c>
      <c r="D23" s="36">
        <v>106966.2</v>
      </c>
      <c r="E23" s="37"/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7"/>
  <sheetViews>
    <sheetView zoomScale="80" zoomScaleNormal="80" zoomScalePageLayoutView="0" workbookViewId="0" topLeftCell="A1">
      <selection activeCell="A398" sqref="A398:IV402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6.7109375" style="67" customWidth="1"/>
    <col min="8" max="8" width="11.421875" style="67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313" t="s">
        <v>23</v>
      </c>
      <c r="B1" s="310"/>
      <c r="C1" s="310"/>
      <c r="D1" s="40"/>
      <c r="E1" s="41"/>
      <c r="F1" s="41"/>
      <c r="G1" s="42"/>
      <c r="H1" s="42"/>
    </row>
    <row r="2" spans="1:8" ht="12.75" customHeight="1">
      <c r="A2" s="44"/>
      <c r="B2" s="45"/>
      <c r="C2" s="44"/>
      <c r="D2" s="46"/>
      <c r="E2" s="41"/>
      <c r="F2" s="41"/>
      <c r="G2" s="41"/>
      <c r="H2" s="41"/>
    </row>
    <row r="3" spans="1:8" s="45" customFormat="1" ht="24" customHeight="1">
      <c r="A3" s="314" t="s">
        <v>24</v>
      </c>
      <c r="B3" s="314"/>
      <c r="C3" s="314"/>
      <c r="D3" s="310"/>
      <c r="E3" s="310"/>
      <c r="F3" s="47"/>
      <c r="G3" s="47"/>
      <c r="H3" s="47"/>
    </row>
    <row r="4" spans="1:8" s="45" customFormat="1" ht="15" customHeight="1" thickBot="1">
      <c r="A4" s="48"/>
      <c r="B4" s="48"/>
      <c r="C4" s="48"/>
      <c r="D4" s="48"/>
      <c r="E4" s="49"/>
      <c r="F4" s="49"/>
      <c r="G4" s="50" t="s">
        <v>4</v>
      </c>
      <c r="H4" s="49"/>
    </row>
    <row r="5" spans="1:8" ht="15.75">
      <c r="A5" s="51" t="s">
        <v>25</v>
      </c>
      <c r="B5" s="51" t="s">
        <v>26</v>
      </c>
      <c r="C5" s="51" t="s">
        <v>27</v>
      </c>
      <c r="D5" s="52" t="s">
        <v>28</v>
      </c>
      <c r="E5" s="53" t="s">
        <v>29</v>
      </c>
      <c r="F5" s="53" t="s">
        <v>29</v>
      </c>
      <c r="G5" s="53" t="s">
        <v>8</v>
      </c>
      <c r="H5" s="53" t="s">
        <v>30</v>
      </c>
    </row>
    <row r="6" spans="1:8" ht="15.75" customHeight="1" thickBot="1">
      <c r="A6" s="54"/>
      <c r="B6" s="54"/>
      <c r="C6" s="54"/>
      <c r="D6" s="55"/>
      <c r="E6" s="56" t="s">
        <v>31</v>
      </c>
      <c r="F6" s="56" t="s">
        <v>32</v>
      </c>
      <c r="G6" s="57" t="s">
        <v>33</v>
      </c>
      <c r="H6" s="56" t="s">
        <v>34</v>
      </c>
    </row>
    <row r="7" spans="1:8" ht="16.5" customHeight="1" thickTop="1">
      <c r="A7" s="58">
        <v>10</v>
      </c>
      <c r="B7" s="58"/>
      <c r="C7" s="58"/>
      <c r="D7" s="59" t="s">
        <v>35</v>
      </c>
      <c r="E7" s="60"/>
      <c r="F7" s="61"/>
      <c r="G7" s="62"/>
      <c r="H7" s="60"/>
    </row>
    <row r="8" spans="1:8" ht="15" customHeight="1">
      <c r="A8" s="58"/>
      <c r="B8" s="58"/>
      <c r="C8" s="58"/>
      <c r="D8" s="59"/>
      <c r="E8" s="60"/>
      <c r="F8" s="61"/>
      <c r="G8" s="62"/>
      <c r="H8" s="60"/>
    </row>
    <row r="9" spans="1:8" ht="15" customHeight="1" hidden="1">
      <c r="A9" s="63"/>
      <c r="B9" s="63"/>
      <c r="C9" s="63">
        <v>1344</v>
      </c>
      <c r="D9" s="63" t="s">
        <v>36</v>
      </c>
      <c r="E9" s="64">
        <v>0</v>
      </c>
      <c r="F9" s="65">
        <v>0</v>
      </c>
      <c r="G9" s="66"/>
      <c r="H9" s="64" t="e">
        <f>(#REF!/F9)*100</f>
        <v>#REF!</v>
      </c>
    </row>
    <row r="10" spans="1:9" ht="15">
      <c r="A10" s="63"/>
      <c r="B10" s="63"/>
      <c r="C10" s="63">
        <v>1361</v>
      </c>
      <c r="D10" s="63" t="s">
        <v>37</v>
      </c>
      <c r="E10" s="64">
        <v>5</v>
      </c>
      <c r="F10" s="65">
        <v>5</v>
      </c>
      <c r="G10" s="66">
        <v>5</v>
      </c>
      <c r="H10" s="64">
        <f>(G10/F10)*100</f>
        <v>100</v>
      </c>
      <c r="I10" s="67"/>
    </row>
    <row r="11" spans="1:8" ht="15">
      <c r="A11" s="68">
        <v>34053</v>
      </c>
      <c r="B11" s="68"/>
      <c r="C11" s="68">
        <v>4116</v>
      </c>
      <c r="D11" s="63" t="s">
        <v>38</v>
      </c>
      <c r="E11" s="69">
        <v>0</v>
      </c>
      <c r="F11" s="70">
        <v>32</v>
      </c>
      <c r="G11" s="71">
        <v>32</v>
      </c>
      <c r="H11" s="64">
        <f aca="true" t="shared" si="0" ref="H11:H58">(G11/F11)*100</f>
        <v>100</v>
      </c>
    </row>
    <row r="12" spans="1:8" ht="15">
      <c r="A12" s="68">
        <v>34070</v>
      </c>
      <c r="B12" s="68"/>
      <c r="C12" s="68">
        <v>4116</v>
      </c>
      <c r="D12" s="63" t="s">
        <v>39</v>
      </c>
      <c r="E12" s="69">
        <v>0</v>
      </c>
      <c r="F12" s="70">
        <v>5</v>
      </c>
      <c r="G12" s="71">
        <v>5</v>
      </c>
      <c r="H12" s="64">
        <f t="shared" si="0"/>
        <v>100</v>
      </c>
    </row>
    <row r="13" spans="1:8" ht="15">
      <c r="A13" s="68">
        <v>33123</v>
      </c>
      <c r="B13" s="68"/>
      <c r="C13" s="68">
        <v>4116</v>
      </c>
      <c r="D13" s="63" t="s">
        <v>40</v>
      </c>
      <c r="E13" s="64">
        <v>0</v>
      </c>
      <c r="F13" s="65">
        <v>1322.6</v>
      </c>
      <c r="G13" s="66">
        <v>1322.5</v>
      </c>
      <c r="H13" s="64">
        <f t="shared" si="0"/>
        <v>99.99243913503706</v>
      </c>
    </row>
    <row r="14" spans="1:8" ht="15">
      <c r="A14" s="68"/>
      <c r="B14" s="68"/>
      <c r="C14" s="68">
        <v>4121</v>
      </c>
      <c r="D14" s="68" t="s">
        <v>41</v>
      </c>
      <c r="E14" s="69">
        <v>0</v>
      </c>
      <c r="F14" s="70">
        <v>131</v>
      </c>
      <c r="G14" s="66">
        <v>300</v>
      </c>
      <c r="H14" s="64">
        <f t="shared" si="0"/>
        <v>229.00763358778624</v>
      </c>
    </row>
    <row r="15" spans="1:9" ht="15">
      <c r="A15" s="68">
        <v>341</v>
      </c>
      <c r="B15" s="68"/>
      <c r="C15" s="68">
        <v>4122</v>
      </c>
      <c r="D15" s="68" t="s">
        <v>42</v>
      </c>
      <c r="E15" s="72">
        <v>0</v>
      </c>
      <c r="F15" s="73">
        <v>200</v>
      </c>
      <c r="G15" s="71">
        <v>200</v>
      </c>
      <c r="H15" s="64">
        <f t="shared" si="0"/>
        <v>100</v>
      </c>
      <c r="I15" s="67"/>
    </row>
    <row r="16" spans="1:8" ht="15">
      <c r="A16" s="68">
        <v>379</v>
      </c>
      <c r="B16" s="68"/>
      <c r="C16" s="68">
        <v>4122</v>
      </c>
      <c r="D16" s="68" t="s">
        <v>43</v>
      </c>
      <c r="E16" s="72">
        <v>0</v>
      </c>
      <c r="F16" s="73">
        <v>31</v>
      </c>
      <c r="G16" s="71">
        <v>31</v>
      </c>
      <c r="H16" s="64">
        <f t="shared" si="0"/>
        <v>100</v>
      </c>
    </row>
    <row r="17" spans="1:8" ht="15" customHeight="1">
      <c r="A17" s="63">
        <v>214</v>
      </c>
      <c r="B17" s="63"/>
      <c r="C17" s="63">
        <v>4122</v>
      </c>
      <c r="D17" s="68" t="s">
        <v>44</v>
      </c>
      <c r="E17" s="64">
        <v>0</v>
      </c>
      <c r="F17" s="65">
        <v>60</v>
      </c>
      <c r="G17" s="66">
        <v>60</v>
      </c>
      <c r="H17" s="64">
        <f t="shared" si="0"/>
        <v>100</v>
      </c>
    </row>
    <row r="18" spans="1:8" ht="15">
      <c r="A18" s="68">
        <v>33030</v>
      </c>
      <c r="B18" s="68"/>
      <c r="C18" s="68">
        <v>4122</v>
      </c>
      <c r="D18" s="68" t="s">
        <v>45</v>
      </c>
      <c r="E18" s="72">
        <v>0</v>
      </c>
      <c r="F18" s="73">
        <v>728.5</v>
      </c>
      <c r="G18" s="71">
        <v>728.3</v>
      </c>
      <c r="H18" s="64">
        <f t="shared" si="0"/>
        <v>99.97254632807137</v>
      </c>
    </row>
    <row r="19" spans="1:8" ht="15" hidden="1">
      <c r="A19" s="68">
        <v>33926</v>
      </c>
      <c r="B19" s="68"/>
      <c r="C19" s="68">
        <v>4222</v>
      </c>
      <c r="D19" s="68" t="s">
        <v>46</v>
      </c>
      <c r="E19" s="72"/>
      <c r="F19" s="73"/>
      <c r="G19" s="71"/>
      <c r="H19" s="64" t="e">
        <f t="shared" si="0"/>
        <v>#DIV/0!</v>
      </c>
    </row>
    <row r="20" spans="1:8" ht="15">
      <c r="A20" s="68"/>
      <c r="B20" s="68">
        <v>2143</v>
      </c>
      <c r="C20" s="68">
        <v>2111</v>
      </c>
      <c r="D20" s="68" t="s">
        <v>47</v>
      </c>
      <c r="E20" s="69">
        <v>400</v>
      </c>
      <c r="F20" s="70">
        <v>400</v>
      </c>
      <c r="G20" s="71">
        <v>391.5</v>
      </c>
      <c r="H20" s="64">
        <f t="shared" si="0"/>
        <v>97.875</v>
      </c>
    </row>
    <row r="21" spans="1:8" ht="15">
      <c r="A21" s="68"/>
      <c r="B21" s="68">
        <v>2143</v>
      </c>
      <c r="C21" s="68">
        <v>2112</v>
      </c>
      <c r="D21" s="68" t="s">
        <v>48</v>
      </c>
      <c r="E21" s="69">
        <v>200</v>
      </c>
      <c r="F21" s="70">
        <v>200</v>
      </c>
      <c r="G21" s="71">
        <v>230.9</v>
      </c>
      <c r="H21" s="64">
        <f t="shared" si="0"/>
        <v>115.45</v>
      </c>
    </row>
    <row r="22" spans="1:8" ht="15">
      <c r="A22" s="68"/>
      <c r="B22" s="68">
        <v>2143</v>
      </c>
      <c r="C22" s="68">
        <v>2212</v>
      </c>
      <c r="D22" s="68" t="s">
        <v>49</v>
      </c>
      <c r="E22" s="69">
        <v>120</v>
      </c>
      <c r="F22" s="70">
        <v>120</v>
      </c>
      <c r="G22" s="71">
        <v>100</v>
      </c>
      <c r="H22" s="64">
        <f t="shared" si="0"/>
        <v>83.33333333333334</v>
      </c>
    </row>
    <row r="23" spans="1:8" ht="15" hidden="1">
      <c r="A23" s="68"/>
      <c r="B23" s="68">
        <v>2143</v>
      </c>
      <c r="C23" s="68">
        <v>2324</v>
      </c>
      <c r="D23" s="68" t="s">
        <v>50</v>
      </c>
      <c r="E23" s="69">
        <v>0</v>
      </c>
      <c r="F23" s="70">
        <v>0</v>
      </c>
      <c r="G23" s="71"/>
      <c r="H23" s="64" t="e">
        <f t="shared" si="0"/>
        <v>#DIV/0!</v>
      </c>
    </row>
    <row r="24" spans="1:8" ht="15" hidden="1">
      <c r="A24" s="68"/>
      <c r="B24" s="68">
        <v>2143</v>
      </c>
      <c r="C24" s="68">
        <v>2329</v>
      </c>
      <c r="D24" s="68" t="s">
        <v>51</v>
      </c>
      <c r="E24" s="69"/>
      <c r="F24" s="70"/>
      <c r="G24" s="71"/>
      <c r="H24" s="64" t="e">
        <f t="shared" si="0"/>
        <v>#DIV/0!</v>
      </c>
    </row>
    <row r="25" spans="1:8" ht="15">
      <c r="A25" s="68"/>
      <c r="B25" s="68">
        <v>3111</v>
      </c>
      <c r="C25" s="68">
        <v>2122</v>
      </c>
      <c r="D25" s="68" t="s">
        <v>52</v>
      </c>
      <c r="E25" s="69">
        <v>0</v>
      </c>
      <c r="F25" s="70">
        <v>120</v>
      </c>
      <c r="G25" s="71">
        <v>120</v>
      </c>
      <c r="H25" s="64">
        <f t="shared" si="0"/>
        <v>100</v>
      </c>
    </row>
    <row r="26" spans="1:8" ht="15" hidden="1">
      <c r="A26" s="68"/>
      <c r="B26" s="68">
        <v>3113</v>
      </c>
      <c r="C26" s="68">
        <v>2119</v>
      </c>
      <c r="D26" s="68" t="s">
        <v>53</v>
      </c>
      <c r="E26" s="69">
        <v>0</v>
      </c>
      <c r="F26" s="70">
        <v>0</v>
      </c>
      <c r="G26" s="71"/>
      <c r="H26" s="64" t="e">
        <f t="shared" si="0"/>
        <v>#DIV/0!</v>
      </c>
    </row>
    <row r="27" spans="1:8" ht="15">
      <c r="A27" s="68"/>
      <c r="B27" s="68">
        <v>3113</v>
      </c>
      <c r="C27" s="68">
        <v>2122</v>
      </c>
      <c r="D27" s="68" t="s">
        <v>54</v>
      </c>
      <c r="E27" s="69">
        <v>1000</v>
      </c>
      <c r="F27" s="70">
        <v>1000</v>
      </c>
      <c r="G27" s="71">
        <v>1000</v>
      </c>
      <c r="H27" s="64">
        <f t="shared" si="0"/>
        <v>100</v>
      </c>
    </row>
    <row r="28" spans="1:9" ht="15">
      <c r="A28" s="68"/>
      <c r="B28" s="68">
        <v>3313</v>
      </c>
      <c r="C28" s="68">
        <v>2132</v>
      </c>
      <c r="D28" s="68" t="s">
        <v>55</v>
      </c>
      <c r="E28" s="69">
        <v>331.8</v>
      </c>
      <c r="F28" s="70">
        <v>331.8</v>
      </c>
      <c r="G28" s="71">
        <v>213.3</v>
      </c>
      <c r="H28" s="64">
        <f t="shared" si="0"/>
        <v>64.28571428571429</v>
      </c>
      <c r="I28" s="67"/>
    </row>
    <row r="29" spans="1:8" ht="15">
      <c r="A29" s="63"/>
      <c r="B29" s="63">
        <v>3313</v>
      </c>
      <c r="C29" s="63">
        <v>2133</v>
      </c>
      <c r="D29" s="63" t="s">
        <v>56</v>
      </c>
      <c r="E29" s="64">
        <v>18.2</v>
      </c>
      <c r="F29" s="65">
        <v>18.2</v>
      </c>
      <c r="G29" s="71">
        <v>11.7</v>
      </c>
      <c r="H29" s="64">
        <f t="shared" si="0"/>
        <v>64.28571428571428</v>
      </c>
    </row>
    <row r="30" spans="1:8" ht="15">
      <c r="A30" s="63"/>
      <c r="B30" s="63">
        <v>3313</v>
      </c>
      <c r="C30" s="63">
        <v>2324</v>
      </c>
      <c r="D30" s="63" t="s">
        <v>57</v>
      </c>
      <c r="E30" s="64">
        <v>0</v>
      </c>
      <c r="F30" s="65">
        <v>0</v>
      </c>
      <c r="G30" s="66">
        <v>96.8</v>
      </c>
      <c r="H30" s="64" t="e">
        <f t="shared" si="0"/>
        <v>#DIV/0!</v>
      </c>
    </row>
    <row r="31" spans="1:8" ht="15" hidden="1">
      <c r="A31" s="63"/>
      <c r="B31" s="63">
        <v>3392</v>
      </c>
      <c r="C31" s="63">
        <v>2329</v>
      </c>
      <c r="D31" s="63" t="s">
        <v>58</v>
      </c>
      <c r="E31" s="64"/>
      <c r="F31" s="65"/>
      <c r="G31" s="66"/>
      <c r="H31" s="64" t="e">
        <f t="shared" si="0"/>
        <v>#DIV/0!</v>
      </c>
    </row>
    <row r="32" spans="1:8" ht="15" hidden="1">
      <c r="A32" s="68"/>
      <c r="B32" s="68">
        <v>3314</v>
      </c>
      <c r="C32" s="68">
        <v>2229</v>
      </c>
      <c r="D32" s="68" t="s">
        <v>59</v>
      </c>
      <c r="E32" s="69"/>
      <c r="F32" s="70"/>
      <c r="G32" s="71"/>
      <c r="H32" s="64" t="e">
        <f t="shared" si="0"/>
        <v>#DIV/0!</v>
      </c>
    </row>
    <row r="33" spans="1:8" ht="15" hidden="1">
      <c r="A33" s="68"/>
      <c r="B33" s="68">
        <v>3315</v>
      </c>
      <c r="C33" s="68">
        <v>2322</v>
      </c>
      <c r="D33" s="68" t="s">
        <v>60</v>
      </c>
      <c r="E33" s="69"/>
      <c r="F33" s="70"/>
      <c r="G33" s="71"/>
      <c r="H33" s="64" t="e">
        <f t="shared" si="0"/>
        <v>#DIV/0!</v>
      </c>
    </row>
    <row r="34" spans="1:8" ht="15">
      <c r="A34" s="68"/>
      <c r="B34" s="68">
        <v>3319</v>
      </c>
      <c r="C34" s="68">
        <v>2324</v>
      </c>
      <c r="D34" s="68" t="s">
        <v>61</v>
      </c>
      <c r="E34" s="69">
        <v>0</v>
      </c>
      <c r="F34" s="70">
        <v>0</v>
      </c>
      <c r="G34" s="71">
        <v>5.8</v>
      </c>
      <c r="H34" s="64" t="e">
        <f t="shared" si="0"/>
        <v>#DIV/0!</v>
      </c>
    </row>
    <row r="35" spans="1:9" ht="15" customHeight="1" hidden="1">
      <c r="A35" s="63"/>
      <c r="B35" s="63">
        <v>3319</v>
      </c>
      <c r="C35" s="63">
        <v>2329</v>
      </c>
      <c r="D35" s="63" t="s">
        <v>62</v>
      </c>
      <c r="E35" s="64"/>
      <c r="F35" s="65"/>
      <c r="G35" s="66"/>
      <c r="H35" s="64" t="e">
        <f t="shared" si="0"/>
        <v>#DIV/0!</v>
      </c>
      <c r="I35" s="67"/>
    </row>
    <row r="36" spans="1:8" ht="15">
      <c r="A36" s="68"/>
      <c r="B36" s="68">
        <v>3326</v>
      </c>
      <c r="C36" s="68">
        <v>2212</v>
      </c>
      <c r="D36" s="68" t="s">
        <v>63</v>
      </c>
      <c r="E36" s="69">
        <v>20</v>
      </c>
      <c r="F36" s="70">
        <v>20</v>
      </c>
      <c r="G36" s="71">
        <v>6</v>
      </c>
      <c r="H36" s="64">
        <f t="shared" si="0"/>
        <v>30</v>
      </c>
    </row>
    <row r="37" spans="1:8" ht="15">
      <c r="A37" s="68"/>
      <c r="B37" s="68">
        <v>3326</v>
      </c>
      <c r="C37" s="68">
        <v>2324</v>
      </c>
      <c r="D37" s="68" t="s">
        <v>64</v>
      </c>
      <c r="E37" s="69">
        <v>2</v>
      </c>
      <c r="F37" s="70">
        <v>2</v>
      </c>
      <c r="G37" s="71">
        <v>2</v>
      </c>
      <c r="H37" s="64">
        <f t="shared" si="0"/>
        <v>100</v>
      </c>
    </row>
    <row r="38" spans="1:8" ht="15">
      <c r="A38" s="68"/>
      <c r="B38" s="68">
        <v>3399</v>
      </c>
      <c r="C38" s="68">
        <v>2111</v>
      </c>
      <c r="D38" s="68" t="s">
        <v>65</v>
      </c>
      <c r="E38" s="69">
        <v>200</v>
      </c>
      <c r="F38" s="70">
        <v>200</v>
      </c>
      <c r="G38" s="71">
        <v>203.4</v>
      </c>
      <c r="H38" s="64">
        <f t="shared" si="0"/>
        <v>101.70000000000002</v>
      </c>
    </row>
    <row r="39" spans="1:8" ht="15">
      <c r="A39" s="68"/>
      <c r="B39" s="68">
        <v>3399</v>
      </c>
      <c r="C39" s="68">
        <v>2112</v>
      </c>
      <c r="D39" s="68" t="s">
        <v>66</v>
      </c>
      <c r="E39" s="69">
        <v>0</v>
      </c>
      <c r="F39" s="70">
        <v>0</v>
      </c>
      <c r="G39" s="71">
        <v>3.6</v>
      </c>
      <c r="H39" s="64" t="e">
        <f t="shared" si="0"/>
        <v>#DIV/0!</v>
      </c>
    </row>
    <row r="40" spans="1:8" ht="15">
      <c r="A40" s="68"/>
      <c r="B40" s="68">
        <v>3399</v>
      </c>
      <c r="C40" s="68">
        <v>2133</v>
      </c>
      <c r="D40" s="68" t="s">
        <v>67</v>
      </c>
      <c r="E40" s="69">
        <v>50</v>
      </c>
      <c r="F40" s="70">
        <v>50</v>
      </c>
      <c r="G40" s="71">
        <v>47</v>
      </c>
      <c r="H40" s="64">
        <f t="shared" si="0"/>
        <v>94</v>
      </c>
    </row>
    <row r="41" spans="1:9" ht="15">
      <c r="A41" s="68"/>
      <c r="B41" s="68">
        <v>3399</v>
      </c>
      <c r="C41" s="68">
        <v>2321</v>
      </c>
      <c r="D41" s="68" t="s">
        <v>68</v>
      </c>
      <c r="E41" s="69">
        <v>120</v>
      </c>
      <c r="F41" s="70">
        <v>60</v>
      </c>
      <c r="G41" s="71">
        <v>50</v>
      </c>
      <c r="H41" s="64">
        <f t="shared" si="0"/>
        <v>83.33333333333334</v>
      </c>
      <c r="I41" s="67"/>
    </row>
    <row r="42" spans="1:8" ht="15">
      <c r="A42" s="68"/>
      <c r="B42" s="68">
        <v>3399</v>
      </c>
      <c r="C42" s="68">
        <v>2324</v>
      </c>
      <c r="D42" s="68" t="s">
        <v>69</v>
      </c>
      <c r="E42" s="69">
        <v>0</v>
      </c>
      <c r="F42" s="70">
        <v>60</v>
      </c>
      <c r="G42" s="71">
        <v>95.1</v>
      </c>
      <c r="H42" s="64">
        <f t="shared" si="0"/>
        <v>158.5</v>
      </c>
    </row>
    <row r="43" spans="1:8" ht="15">
      <c r="A43" s="63"/>
      <c r="B43" s="63">
        <v>3399</v>
      </c>
      <c r="C43" s="63">
        <v>2329</v>
      </c>
      <c r="D43" s="63" t="s">
        <v>70</v>
      </c>
      <c r="E43" s="69">
        <v>0</v>
      </c>
      <c r="F43" s="70">
        <v>0</v>
      </c>
      <c r="G43" s="71">
        <v>67.1</v>
      </c>
      <c r="H43" s="64" t="e">
        <f t="shared" si="0"/>
        <v>#DIV/0!</v>
      </c>
    </row>
    <row r="44" spans="1:8" ht="15" hidden="1">
      <c r="A44" s="63"/>
      <c r="B44" s="63">
        <v>3412</v>
      </c>
      <c r="C44" s="63">
        <v>2122</v>
      </c>
      <c r="D44" s="63" t="s">
        <v>71</v>
      </c>
      <c r="E44" s="69"/>
      <c r="F44" s="70"/>
      <c r="G44" s="71"/>
      <c r="H44" s="64" t="e">
        <f t="shared" si="0"/>
        <v>#DIV/0!</v>
      </c>
    </row>
    <row r="45" spans="1:8" ht="15" hidden="1">
      <c r="A45" s="68"/>
      <c r="B45" s="68">
        <v>3412</v>
      </c>
      <c r="C45" s="68">
        <v>2324</v>
      </c>
      <c r="D45" s="68" t="s">
        <v>72</v>
      </c>
      <c r="E45" s="69"/>
      <c r="F45" s="70"/>
      <c r="G45" s="71"/>
      <c r="H45" s="64" t="e">
        <f t="shared" si="0"/>
        <v>#DIV/0!</v>
      </c>
    </row>
    <row r="46" spans="1:8" ht="15" hidden="1">
      <c r="A46" s="68"/>
      <c r="B46" s="68">
        <v>3412</v>
      </c>
      <c r="C46" s="68">
        <v>2329</v>
      </c>
      <c r="D46" s="68" t="s">
        <v>73</v>
      </c>
      <c r="E46" s="69"/>
      <c r="F46" s="70"/>
      <c r="G46" s="71"/>
      <c r="H46" s="64" t="e">
        <f t="shared" si="0"/>
        <v>#DIV/0!</v>
      </c>
    </row>
    <row r="47" spans="1:8" ht="15">
      <c r="A47" s="68"/>
      <c r="B47" s="68">
        <v>3412</v>
      </c>
      <c r="C47" s="68">
        <v>2132</v>
      </c>
      <c r="D47" s="68" t="s">
        <v>74</v>
      </c>
      <c r="E47" s="69">
        <v>579.6</v>
      </c>
      <c r="F47" s="70">
        <v>579.6</v>
      </c>
      <c r="G47" s="66">
        <v>339.8</v>
      </c>
      <c r="H47" s="64">
        <f t="shared" si="0"/>
        <v>58.62663906142167</v>
      </c>
    </row>
    <row r="48" spans="1:9" ht="15">
      <c r="A48" s="68"/>
      <c r="B48" s="68">
        <v>3412</v>
      </c>
      <c r="C48" s="68">
        <v>2133</v>
      </c>
      <c r="D48" s="68" t="s">
        <v>75</v>
      </c>
      <c r="E48" s="69">
        <v>2.4</v>
      </c>
      <c r="F48" s="70">
        <v>2.4</v>
      </c>
      <c r="G48" s="66">
        <v>10.2</v>
      </c>
      <c r="H48" s="64">
        <f t="shared" si="0"/>
        <v>425</v>
      </c>
      <c r="I48" s="67"/>
    </row>
    <row r="49" spans="1:8" ht="15" hidden="1">
      <c r="A49" s="68"/>
      <c r="B49" s="68">
        <v>3412</v>
      </c>
      <c r="C49" s="68">
        <v>2229</v>
      </c>
      <c r="D49" s="68" t="s">
        <v>76</v>
      </c>
      <c r="E49" s="69"/>
      <c r="F49" s="70"/>
      <c r="G49" s="66"/>
      <c r="H49" s="64" t="e">
        <f t="shared" si="0"/>
        <v>#DIV/0!</v>
      </c>
    </row>
    <row r="50" spans="1:8" ht="15">
      <c r="A50" s="68"/>
      <c r="B50" s="68">
        <v>3412</v>
      </c>
      <c r="C50" s="68">
        <v>2324</v>
      </c>
      <c r="D50" s="68" t="s">
        <v>77</v>
      </c>
      <c r="E50" s="69">
        <v>0</v>
      </c>
      <c r="F50" s="70">
        <v>0</v>
      </c>
      <c r="G50" s="71">
        <v>62.3</v>
      </c>
      <c r="H50" s="64" t="e">
        <f t="shared" si="0"/>
        <v>#DIV/0!</v>
      </c>
    </row>
    <row r="51" spans="1:8" ht="15" hidden="1">
      <c r="A51" s="68"/>
      <c r="B51" s="68">
        <v>3419</v>
      </c>
      <c r="C51" s="68">
        <v>2132</v>
      </c>
      <c r="D51" s="68" t="s">
        <v>78</v>
      </c>
      <c r="E51" s="69"/>
      <c r="F51" s="70"/>
      <c r="G51" s="71"/>
      <c r="H51" s="64" t="e">
        <f t="shared" si="0"/>
        <v>#DIV/0!</v>
      </c>
    </row>
    <row r="52" spans="1:8" ht="15">
      <c r="A52" s="68"/>
      <c r="B52" s="68">
        <v>3419</v>
      </c>
      <c r="C52" s="68">
        <v>2229</v>
      </c>
      <c r="D52" s="68" t="s">
        <v>79</v>
      </c>
      <c r="E52" s="69">
        <v>0</v>
      </c>
      <c r="F52" s="70">
        <v>0</v>
      </c>
      <c r="G52" s="71">
        <v>30.7</v>
      </c>
      <c r="H52" s="64" t="e">
        <f t="shared" si="0"/>
        <v>#DIV/0!</v>
      </c>
    </row>
    <row r="53" spans="1:8" ht="15" hidden="1">
      <c r="A53" s="68"/>
      <c r="B53" s="68">
        <v>3421</v>
      </c>
      <c r="C53" s="68">
        <v>2132</v>
      </c>
      <c r="D53" s="68" t="s">
        <v>80</v>
      </c>
      <c r="E53" s="69"/>
      <c r="F53" s="70"/>
      <c r="G53" s="71"/>
      <c r="H53" s="64" t="e">
        <f t="shared" si="0"/>
        <v>#DIV/0!</v>
      </c>
    </row>
    <row r="54" spans="1:8" ht="15">
      <c r="A54" s="68"/>
      <c r="B54" s="68">
        <v>3421</v>
      </c>
      <c r="C54" s="68">
        <v>2229</v>
      </c>
      <c r="D54" s="68" t="s">
        <v>81</v>
      </c>
      <c r="E54" s="69">
        <v>0</v>
      </c>
      <c r="F54" s="70">
        <v>0</v>
      </c>
      <c r="G54" s="71">
        <v>7.3</v>
      </c>
      <c r="H54" s="64" t="e">
        <f t="shared" si="0"/>
        <v>#DIV/0!</v>
      </c>
    </row>
    <row r="55" spans="1:8" ht="15" hidden="1">
      <c r="A55" s="68"/>
      <c r="B55" s="68">
        <v>3421</v>
      </c>
      <c r="C55" s="68">
        <v>2324</v>
      </c>
      <c r="D55" s="68" t="s">
        <v>82</v>
      </c>
      <c r="E55" s="69"/>
      <c r="F55" s="70"/>
      <c r="G55" s="71"/>
      <c r="H55" s="64" t="e">
        <f t="shared" si="0"/>
        <v>#DIV/0!</v>
      </c>
    </row>
    <row r="56" spans="1:8" ht="15">
      <c r="A56" s="68"/>
      <c r="B56" s="68">
        <v>3429</v>
      </c>
      <c r="C56" s="68">
        <v>2229</v>
      </c>
      <c r="D56" s="68" t="s">
        <v>83</v>
      </c>
      <c r="E56" s="69">
        <v>0</v>
      </c>
      <c r="F56" s="70">
        <v>0</v>
      </c>
      <c r="G56" s="71">
        <v>7.5</v>
      </c>
      <c r="H56" s="64" t="e">
        <f t="shared" si="0"/>
        <v>#DIV/0!</v>
      </c>
    </row>
    <row r="57" spans="1:8" ht="15" hidden="1">
      <c r="A57" s="68"/>
      <c r="B57" s="68">
        <v>6171</v>
      </c>
      <c r="C57" s="68">
        <v>2212</v>
      </c>
      <c r="D57" s="68" t="s">
        <v>84</v>
      </c>
      <c r="E57" s="69"/>
      <c r="F57" s="70"/>
      <c r="G57" s="71"/>
      <c r="H57" s="64" t="e">
        <f t="shared" si="0"/>
        <v>#DIV/0!</v>
      </c>
    </row>
    <row r="58" spans="1:8" ht="15" customHeight="1">
      <c r="A58" s="63"/>
      <c r="B58" s="63">
        <v>6409</v>
      </c>
      <c r="C58" s="63">
        <v>2328</v>
      </c>
      <c r="D58" s="63" t="s">
        <v>85</v>
      </c>
      <c r="E58" s="64">
        <v>0</v>
      </c>
      <c r="F58" s="65">
        <v>0</v>
      </c>
      <c r="G58" s="66">
        <v>0</v>
      </c>
      <c r="H58" s="64" t="e">
        <f t="shared" si="0"/>
        <v>#DIV/0!</v>
      </c>
    </row>
    <row r="59" spans="1:8" ht="15" customHeight="1" thickBot="1">
      <c r="A59" s="74"/>
      <c r="B59" s="74"/>
      <c r="C59" s="74"/>
      <c r="D59" s="74"/>
      <c r="E59" s="75"/>
      <c r="F59" s="76"/>
      <c r="G59" s="77"/>
      <c r="H59" s="75"/>
    </row>
    <row r="60" spans="1:8" s="83" customFormat="1" ht="21.75" customHeight="1" thickBot="1" thickTop="1">
      <c r="A60" s="78"/>
      <c r="B60" s="78"/>
      <c r="C60" s="78"/>
      <c r="D60" s="79" t="s">
        <v>86</v>
      </c>
      <c r="E60" s="80">
        <f>SUM(E9:E58)</f>
        <v>3049</v>
      </c>
      <c r="F60" s="81">
        <f>SUM(F9:F58)</f>
        <v>5679.1</v>
      </c>
      <c r="G60" s="82">
        <f>SUM(G9:G58)</f>
        <v>5785.800000000002</v>
      </c>
      <c r="H60" s="80">
        <f>(G60/F60)*100</f>
        <v>101.87881882692682</v>
      </c>
    </row>
    <row r="61" spans="1:8" ht="15" customHeight="1">
      <c r="A61" s="83"/>
      <c r="B61" s="83"/>
      <c r="C61" s="83"/>
      <c r="D61" s="83"/>
      <c r="E61" s="84"/>
      <c r="F61" s="84"/>
      <c r="G61" s="84"/>
      <c r="H61" s="84"/>
    </row>
    <row r="62" spans="1:8" ht="15" customHeight="1">
      <c r="A62" s="83"/>
      <c r="B62" s="83"/>
      <c r="C62" s="83"/>
      <c r="D62" s="83"/>
      <c r="E62" s="84"/>
      <c r="F62" s="84"/>
      <c r="G62" s="84"/>
      <c r="H62" s="84"/>
    </row>
    <row r="63" spans="1:8" ht="15" customHeight="1" thickBot="1">
      <c r="A63" s="83"/>
      <c r="B63" s="83"/>
      <c r="C63" s="83"/>
      <c r="D63" s="83"/>
      <c r="E63" s="84"/>
      <c r="F63" s="84"/>
      <c r="G63" s="84"/>
      <c r="H63" s="84"/>
    </row>
    <row r="64" spans="1:8" ht="15.75">
      <c r="A64" s="51" t="s">
        <v>25</v>
      </c>
      <c r="B64" s="51" t="s">
        <v>26</v>
      </c>
      <c r="C64" s="51" t="s">
        <v>27</v>
      </c>
      <c r="D64" s="52" t="s">
        <v>28</v>
      </c>
      <c r="E64" s="53" t="s">
        <v>29</v>
      </c>
      <c r="F64" s="53" t="s">
        <v>29</v>
      </c>
      <c r="G64" s="53" t="s">
        <v>8</v>
      </c>
      <c r="H64" s="53" t="s">
        <v>30</v>
      </c>
    </row>
    <row r="65" spans="1:8" ht="15.75" customHeight="1" thickBot="1">
      <c r="A65" s="54"/>
      <c r="B65" s="54"/>
      <c r="C65" s="54"/>
      <c r="D65" s="55"/>
      <c r="E65" s="56" t="s">
        <v>31</v>
      </c>
      <c r="F65" s="56" t="s">
        <v>32</v>
      </c>
      <c r="G65" s="57" t="s">
        <v>33</v>
      </c>
      <c r="H65" s="56" t="s">
        <v>34</v>
      </c>
    </row>
    <row r="66" spans="1:8" ht="15.75" customHeight="1" thickTop="1">
      <c r="A66" s="85">
        <v>20</v>
      </c>
      <c r="B66" s="58"/>
      <c r="C66" s="58"/>
      <c r="D66" s="59" t="s">
        <v>87</v>
      </c>
      <c r="E66" s="60"/>
      <c r="F66" s="61"/>
      <c r="G66" s="62"/>
      <c r="H66" s="60"/>
    </row>
    <row r="67" spans="1:8" ht="15.75" customHeight="1">
      <c r="A67" s="85"/>
      <c r="B67" s="58"/>
      <c r="C67" s="58"/>
      <c r="D67" s="59"/>
      <c r="E67" s="60"/>
      <c r="F67" s="61"/>
      <c r="G67" s="62"/>
      <c r="H67" s="60"/>
    </row>
    <row r="68" spans="1:8" ht="15.75" customHeight="1" hidden="1">
      <c r="A68" s="85"/>
      <c r="B68" s="58"/>
      <c r="C68" s="86">
        <v>2420</v>
      </c>
      <c r="D68" s="87" t="s">
        <v>88</v>
      </c>
      <c r="E68" s="64">
        <v>0</v>
      </c>
      <c r="F68" s="65">
        <v>0</v>
      </c>
      <c r="G68" s="66"/>
      <c r="H68" s="64" t="e">
        <f>(#REF!/F68)*100</f>
        <v>#REF!</v>
      </c>
    </row>
    <row r="69" spans="1:8" ht="15.75" customHeight="1">
      <c r="A69" s="85"/>
      <c r="B69" s="58"/>
      <c r="C69" s="86">
        <v>4113</v>
      </c>
      <c r="D69" s="87" t="s">
        <v>89</v>
      </c>
      <c r="E69" s="64">
        <v>0</v>
      </c>
      <c r="F69" s="65">
        <f>99.5+34.5+13.1+7.7</f>
        <v>154.79999999999998</v>
      </c>
      <c r="G69" s="66">
        <v>0</v>
      </c>
      <c r="H69" s="64">
        <f aca="true" t="shared" si="1" ref="H69:H106">(G69/F69)*100</f>
        <v>0</v>
      </c>
    </row>
    <row r="70" spans="1:8" ht="15.75">
      <c r="A70" s="88">
        <v>14018</v>
      </c>
      <c r="B70" s="58"/>
      <c r="C70" s="89">
        <v>4116</v>
      </c>
      <c r="D70" s="90" t="s">
        <v>90</v>
      </c>
      <c r="E70" s="64">
        <v>0</v>
      </c>
      <c r="F70" s="65">
        <v>640</v>
      </c>
      <c r="G70" s="71">
        <v>640</v>
      </c>
      <c r="H70" s="64">
        <f t="shared" si="1"/>
        <v>100</v>
      </c>
    </row>
    <row r="71" spans="1:10" ht="15.75">
      <c r="A71" s="88"/>
      <c r="B71" s="58"/>
      <c r="C71" s="89">
        <v>4116</v>
      </c>
      <c r="D71" s="63" t="s">
        <v>91</v>
      </c>
      <c r="E71" s="64">
        <v>90</v>
      </c>
      <c r="F71" s="65">
        <v>2650.1</v>
      </c>
      <c r="G71" s="71">
        <v>2059.1</v>
      </c>
      <c r="H71" s="64">
        <f t="shared" si="1"/>
        <v>77.69895475642429</v>
      </c>
      <c r="J71" s="67"/>
    </row>
    <row r="72" spans="1:8" ht="15.75" customHeight="1">
      <c r="A72" s="88">
        <v>15374</v>
      </c>
      <c r="B72" s="58"/>
      <c r="C72" s="86">
        <v>4116</v>
      </c>
      <c r="D72" s="90" t="s">
        <v>92</v>
      </c>
      <c r="E72" s="60">
        <v>0</v>
      </c>
      <c r="F72" s="61">
        <f>1691+482.9+221.9+130.2</f>
        <v>2526</v>
      </c>
      <c r="G72" s="71">
        <v>0</v>
      </c>
      <c r="H72" s="64">
        <f t="shared" si="1"/>
        <v>0</v>
      </c>
    </row>
    <row r="73" spans="1:8" ht="15" customHeight="1">
      <c r="A73" s="63">
        <v>221</v>
      </c>
      <c r="B73" s="63"/>
      <c r="C73" s="63">
        <v>4122</v>
      </c>
      <c r="D73" s="63" t="s">
        <v>93</v>
      </c>
      <c r="E73" s="64">
        <v>0</v>
      </c>
      <c r="F73" s="65">
        <v>70</v>
      </c>
      <c r="G73" s="66">
        <v>70</v>
      </c>
      <c r="H73" s="64">
        <f t="shared" si="1"/>
        <v>100</v>
      </c>
    </row>
    <row r="74" spans="1:8" ht="15.75">
      <c r="A74" s="88">
        <v>359</v>
      </c>
      <c r="B74" s="58"/>
      <c r="C74" s="86">
        <v>4122</v>
      </c>
      <c r="D74" s="90" t="s">
        <v>94</v>
      </c>
      <c r="E74" s="64">
        <v>0</v>
      </c>
      <c r="F74" s="65">
        <v>20</v>
      </c>
      <c r="G74" s="71">
        <v>20</v>
      </c>
      <c r="H74" s="64">
        <f t="shared" si="1"/>
        <v>100</v>
      </c>
    </row>
    <row r="75" spans="1:10" ht="15.75" customHeight="1">
      <c r="A75" s="88">
        <v>71024</v>
      </c>
      <c r="B75" s="58"/>
      <c r="C75" s="86">
        <v>4213</v>
      </c>
      <c r="D75" s="91" t="s">
        <v>95</v>
      </c>
      <c r="E75" s="60">
        <v>100</v>
      </c>
      <c r="F75" s="61">
        <v>0</v>
      </c>
      <c r="G75" s="71">
        <v>0</v>
      </c>
      <c r="H75" s="64" t="e">
        <f t="shared" si="1"/>
        <v>#DIV/0!</v>
      </c>
      <c r="J75" s="67"/>
    </row>
    <row r="76" spans="1:9" ht="15.75" customHeight="1">
      <c r="A76" s="88">
        <v>81012</v>
      </c>
      <c r="B76" s="58"/>
      <c r="C76" s="86">
        <v>4213</v>
      </c>
      <c r="D76" s="91" t="s">
        <v>96</v>
      </c>
      <c r="E76" s="60">
        <v>140</v>
      </c>
      <c r="F76" s="61">
        <v>2.7</v>
      </c>
      <c r="G76" s="71">
        <v>2.7</v>
      </c>
      <c r="H76" s="64">
        <f t="shared" si="1"/>
        <v>100</v>
      </c>
      <c r="I76" s="67"/>
    </row>
    <row r="77" spans="1:8" ht="15.75" customHeight="1">
      <c r="A77" s="88">
        <v>1036</v>
      </c>
      <c r="B77" s="58"/>
      <c r="C77" s="86">
        <v>4213</v>
      </c>
      <c r="D77" s="91" t="s">
        <v>97</v>
      </c>
      <c r="E77" s="60">
        <v>35</v>
      </c>
      <c r="F77" s="61">
        <v>29</v>
      </c>
      <c r="G77" s="71">
        <v>0</v>
      </c>
      <c r="H77" s="64">
        <f t="shared" si="1"/>
        <v>0</v>
      </c>
    </row>
    <row r="78" spans="1:8" ht="15" customHeight="1">
      <c r="A78" s="92">
        <v>1037</v>
      </c>
      <c r="B78" s="63"/>
      <c r="C78" s="63">
        <v>4213</v>
      </c>
      <c r="D78" s="63" t="s">
        <v>98</v>
      </c>
      <c r="E78" s="64">
        <v>0</v>
      </c>
      <c r="F78" s="65">
        <v>115</v>
      </c>
      <c r="G78" s="66">
        <v>115</v>
      </c>
      <c r="H78" s="64">
        <f t="shared" si="1"/>
        <v>100</v>
      </c>
    </row>
    <row r="79" spans="1:8" ht="15.75" customHeight="1">
      <c r="A79" s="88">
        <v>1046</v>
      </c>
      <c r="B79" s="58"/>
      <c r="C79" s="86">
        <v>4213</v>
      </c>
      <c r="D79" s="91" t="s">
        <v>99</v>
      </c>
      <c r="E79" s="60">
        <v>51</v>
      </c>
      <c r="F79" s="61">
        <v>51</v>
      </c>
      <c r="G79" s="71">
        <v>0</v>
      </c>
      <c r="H79" s="64">
        <f t="shared" si="1"/>
        <v>0</v>
      </c>
    </row>
    <row r="80" spans="1:8" ht="15.75" customHeight="1">
      <c r="A80" s="88">
        <v>1047</v>
      </c>
      <c r="B80" s="58"/>
      <c r="C80" s="86">
        <v>4213</v>
      </c>
      <c r="D80" s="91" t="s">
        <v>100</v>
      </c>
      <c r="E80" s="60">
        <v>321</v>
      </c>
      <c r="F80" s="61">
        <v>321</v>
      </c>
      <c r="G80" s="71">
        <v>0</v>
      </c>
      <c r="H80" s="64">
        <f t="shared" si="1"/>
        <v>0</v>
      </c>
    </row>
    <row r="81" spans="1:8" ht="15.75" customHeight="1">
      <c r="A81" s="88">
        <v>1047</v>
      </c>
      <c r="B81" s="58"/>
      <c r="C81" s="86">
        <v>4213</v>
      </c>
      <c r="D81" s="91" t="s">
        <v>101</v>
      </c>
      <c r="E81" s="60">
        <v>174</v>
      </c>
      <c r="F81" s="61">
        <v>174</v>
      </c>
      <c r="G81" s="71">
        <v>0</v>
      </c>
      <c r="H81" s="64">
        <f t="shared" si="1"/>
        <v>0</v>
      </c>
    </row>
    <row r="82" spans="1:8" ht="15.75">
      <c r="A82" s="88">
        <v>71024</v>
      </c>
      <c r="B82" s="58"/>
      <c r="C82" s="89">
        <v>4216</v>
      </c>
      <c r="D82" s="90" t="s">
        <v>102</v>
      </c>
      <c r="E82" s="64">
        <v>4300</v>
      </c>
      <c r="F82" s="65">
        <v>0</v>
      </c>
      <c r="G82" s="71">
        <v>0</v>
      </c>
      <c r="H82" s="64" t="e">
        <f t="shared" si="1"/>
        <v>#DIV/0!</v>
      </c>
    </row>
    <row r="83" spans="1:8" ht="15.75">
      <c r="A83" s="88">
        <v>81012</v>
      </c>
      <c r="B83" s="58"/>
      <c r="C83" s="89">
        <v>4216</v>
      </c>
      <c r="D83" s="90" t="s">
        <v>103</v>
      </c>
      <c r="E83" s="64">
        <v>2660</v>
      </c>
      <c r="F83" s="65">
        <v>45.9</v>
      </c>
      <c r="G83" s="71">
        <v>45.9</v>
      </c>
      <c r="H83" s="64">
        <f t="shared" si="1"/>
        <v>100</v>
      </c>
    </row>
    <row r="84" spans="1:8" ht="15.75">
      <c r="A84" s="88">
        <v>1036</v>
      </c>
      <c r="B84" s="58"/>
      <c r="C84" s="89">
        <v>4216</v>
      </c>
      <c r="D84" s="90" t="s">
        <v>104</v>
      </c>
      <c r="E84" s="64">
        <v>588</v>
      </c>
      <c r="F84" s="65">
        <v>492.8</v>
      </c>
      <c r="G84" s="71">
        <v>0</v>
      </c>
      <c r="H84" s="64">
        <f t="shared" si="1"/>
        <v>0</v>
      </c>
    </row>
    <row r="85" spans="1:8" ht="15.75">
      <c r="A85" s="88">
        <v>1045</v>
      </c>
      <c r="B85" s="58"/>
      <c r="C85" s="89">
        <v>4216</v>
      </c>
      <c r="D85" s="90" t="s">
        <v>105</v>
      </c>
      <c r="E85" s="64">
        <v>2125</v>
      </c>
      <c r="F85" s="65">
        <v>2125</v>
      </c>
      <c r="G85" s="71">
        <v>0</v>
      </c>
      <c r="H85" s="64">
        <f t="shared" si="1"/>
        <v>0</v>
      </c>
    </row>
    <row r="86" spans="1:8" ht="15.75">
      <c r="A86" s="88">
        <v>1046</v>
      </c>
      <c r="B86" s="58"/>
      <c r="C86" s="89">
        <v>4216</v>
      </c>
      <c r="D86" s="90" t="s">
        <v>106</v>
      </c>
      <c r="E86" s="64">
        <v>882</v>
      </c>
      <c r="F86" s="65">
        <v>882</v>
      </c>
      <c r="G86" s="71">
        <v>0</v>
      </c>
      <c r="H86" s="64">
        <f t="shared" si="1"/>
        <v>0</v>
      </c>
    </row>
    <row r="87" spans="1:8" ht="15.75">
      <c r="A87" s="88">
        <v>1047</v>
      </c>
      <c r="B87" s="58"/>
      <c r="C87" s="89">
        <v>4216</v>
      </c>
      <c r="D87" s="90" t="s">
        <v>107</v>
      </c>
      <c r="E87" s="64">
        <v>5464</v>
      </c>
      <c r="F87" s="65">
        <v>5464</v>
      </c>
      <c r="G87" s="71">
        <v>0</v>
      </c>
      <c r="H87" s="64">
        <f t="shared" si="1"/>
        <v>0</v>
      </c>
    </row>
    <row r="88" spans="1:8" ht="15.75">
      <c r="A88" s="88">
        <v>1048</v>
      </c>
      <c r="B88" s="58"/>
      <c r="C88" s="89">
        <v>4216</v>
      </c>
      <c r="D88" s="90" t="s">
        <v>108</v>
      </c>
      <c r="E88" s="64">
        <v>2959</v>
      </c>
      <c r="F88" s="65">
        <v>2959</v>
      </c>
      <c r="G88" s="71">
        <v>0</v>
      </c>
      <c r="H88" s="64">
        <f t="shared" si="1"/>
        <v>0</v>
      </c>
    </row>
    <row r="89" spans="1:8" ht="15" hidden="1">
      <c r="A89" s="93"/>
      <c r="B89" s="93"/>
      <c r="C89" s="89">
        <v>4216</v>
      </c>
      <c r="D89" s="94" t="s">
        <v>109</v>
      </c>
      <c r="E89" s="64"/>
      <c r="F89" s="65"/>
      <c r="G89" s="71"/>
      <c r="H89" s="64" t="e">
        <f t="shared" si="1"/>
        <v>#DIV/0!</v>
      </c>
    </row>
    <row r="90" spans="1:8" ht="15" hidden="1">
      <c r="A90" s="95"/>
      <c r="B90" s="96"/>
      <c r="C90" s="92">
        <v>4216</v>
      </c>
      <c r="D90" s="94" t="s">
        <v>109</v>
      </c>
      <c r="E90" s="69"/>
      <c r="F90" s="70"/>
      <c r="G90" s="71"/>
      <c r="H90" s="64" t="e">
        <f t="shared" si="1"/>
        <v>#DIV/0!</v>
      </c>
    </row>
    <row r="91" spans="1:8" ht="15">
      <c r="A91" s="95">
        <v>433</v>
      </c>
      <c r="B91" s="96"/>
      <c r="C91" s="92">
        <v>4222</v>
      </c>
      <c r="D91" s="94" t="s">
        <v>110</v>
      </c>
      <c r="E91" s="69">
        <v>0</v>
      </c>
      <c r="F91" s="70">
        <v>20</v>
      </c>
      <c r="G91" s="71">
        <v>20</v>
      </c>
      <c r="H91" s="64">
        <f t="shared" si="1"/>
        <v>100</v>
      </c>
    </row>
    <row r="92" spans="1:8" ht="15">
      <c r="A92" s="95">
        <v>342</v>
      </c>
      <c r="B92" s="96"/>
      <c r="C92" s="92">
        <v>4222</v>
      </c>
      <c r="D92" s="94" t="s">
        <v>111</v>
      </c>
      <c r="E92" s="69">
        <v>0</v>
      </c>
      <c r="F92" s="70">
        <v>800</v>
      </c>
      <c r="G92" s="71">
        <v>800</v>
      </c>
      <c r="H92" s="64">
        <f t="shared" si="1"/>
        <v>100</v>
      </c>
    </row>
    <row r="93" spans="1:8" ht="15">
      <c r="A93" s="95"/>
      <c r="B93" s="96"/>
      <c r="C93" s="92">
        <v>4223</v>
      </c>
      <c r="D93" s="94" t="s">
        <v>112</v>
      </c>
      <c r="E93" s="69">
        <v>30000</v>
      </c>
      <c r="F93" s="70">
        <v>17995.4</v>
      </c>
      <c r="G93" s="71">
        <v>0</v>
      </c>
      <c r="H93" s="64">
        <f t="shared" si="1"/>
        <v>0</v>
      </c>
    </row>
    <row r="94" spans="1:8" ht="15" hidden="1">
      <c r="A94" s="95"/>
      <c r="B94" s="96">
        <v>2212</v>
      </c>
      <c r="C94" s="92">
        <v>2322</v>
      </c>
      <c r="D94" s="94" t="s">
        <v>113</v>
      </c>
      <c r="E94" s="69"/>
      <c r="F94" s="70"/>
      <c r="G94" s="71"/>
      <c r="H94" s="64" t="e">
        <f t="shared" si="1"/>
        <v>#DIV/0!</v>
      </c>
    </row>
    <row r="95" spans="1:8" ht="15">
      <c r="A95" s="95"/>
      <c r="B95" s="96"/>
      <c r="C95" s="92">
        <v>4223</v>
      </c>
      <c r="D95" s="94" t="s">
        <v>114</v>
      </c>
      <c r="E95" s="69">
        <v>0</v>
      </c>
      <c r="F95" s="70">
        <v>3541.3</v>
      </c>
      <c r="G95" s="71">
        <v>0</v>
      </c>
      <c r="H95" s="64">
        <f t="shared" si="1"/>
        <v>0</v>
      </c>
    </row>
    <row r="96" spans="1:8" ht="15">
      <c r="A96" s="95"/>
      <c r="B96" s="96">
        <v>2169</v>
      </c>
      <c r="C96" s="92">
        <v>2212</v>
      </c>
      <c r="D96" s="94" t="s">
        <v>115</v>
      </c>
      <c r="E96" s="69">
        <v>0</v>
      </c>
      <c r="F96" s="70">
        <v>0</v>
      </c>
      <c r="G96" s="71">
        <v>100</v>
      </c>
      <c r="H96" s="64" t="e">
        <f t="shared" si="1"/>
        <v>#DIV/0!</v>
      </c>
    </row>
    <row r="97" spans="1:8" ht="15">
      <c r="A97" s="95"/>
      <c r="B97" s="96">
        <v>2212</v>
      </c>
      <c r="C97" s="92">
        <v>2324</v>
      </c>
      <c r="D97" s="94" t="s">
        <v>116</v>
      </c>
      <c r="E97" s="69">
        <v>0</v>
      </c>
      <c r="F97" s="70">
        <v>0</v>
      </c>
      <c r="G97" s="71">
        <v>17.1</v>
      </c>
      <c r="H97" s="64" t="e">
        <f t="shared" si="1"/>
        <v>#DIV/0!</v>
      </c>
    </row>
    <row r="98" spans="1:8" ht="15" hidden="1">
      <c r="A98" s="95"/>
      <c r="B98" s="96">
        <v>2219</v>
      </c>
      <c r="C98" s="97">
        <v>2321</v>
      </c>
      <c r="D98" s="94" t="s">
        <v>117</v>
      </c>
      <c r="E98" s="69"/>
      <c r="F98" s="70"/>
      <c r="G98" s="71"/>
      <c r="H98" s="64" t="e">
        <f t="shared" si="1"/>
        <v>#DIV/0!</v>
      </c>
    </row>
    <row r="99" spans="1:8" ht="15" hidden="1">
      <c r="A99" s="95"/>
      <c r="B99" s="96">
        <v>2219</v>
      </c>
      <c r="C99" s="92">
        <v>2324</v>
      </c>
      <c r="D99" s="94" t="s">
        <v>118</v>
      </c>
      <c r="E99" s="69"/>
      <c r="F99" s="70"/>
      <c r="G99" s="71"/>
      <c r="H99" s="64" t="e">
        <f t="shared" si="1"/>
        <v>#DIV/0!</v>
      </c>
    </row>
    <row r="100" spans="1:8" ht="15">
      <c r="A100" s="95"/>
      <c r="B100" s="96">
        <v>2221</v>
      </c>
      <c r="C100" s="97">
        <v>2329</v>
      </c>
      <c r="D100" s="94" t="s">
        <v>119</v>
      </c>
      <c r="E100" s="69">
        <v>0</v>
      </c>
      <c r="F100" s="70">
        <v>0</v>
      </c>
      <c r="G100" s="71">
        <v>17.7</v>
      </c>
      <c r="H100" s="64" t="e">
        <f t="shared" si="1"/>
        <v>#DIV/0!</v>
      </c>
    </row>
    <row r="101" spans="1:8" ht="15">
      <c r="A101" s="98"/>
      <c r="B101" s="63">
        <v>3421</v>
      </c>
      <c r="C101" s="63">
        <v>2111</v>
      </c>
      <c r="D101" s="63" t="s">
        <v>120</v>
      </c>
      <c r="E101" s="99">
        <v>0</v>
      </c>
      <c r="F101" s="65">
        <v>0</v>
      </c>
      <c r="G101" s="66">
        <v>12.1</v>
      </c>
      <c r="H101" s="64" t="e">
        <f t="shared" si="1"/>
        <v>#DIV/0!</v>
      </c>
    </row>
    <row r="102" spans="1:8" ht="15">
      <c r="A102" s="98"/>
      <c r="B102" s="63">
        <v>3631</v>
      </c>
      <c r="C102" s="63">
        <v>2322</v>
      </c>
      <c r="D102" s="63" t="s">
        <v>121</v>
      </c>
      <c r="E102" s="99">
        <v>0</v>
      </c>
      <c r="F102" s="65">
        <v>0</v>
      </c>
      <c r="G102" s="71">
        <v>7.3</v>
      </c>
      <c r="H102" s="64" t="e">
        <f t="shared" si="1"/>
        <v>#DIV/0!</v>
      </c>
    </row>
    <row r="103" spans="1:8" ht="15">
      <c r="A103" s="100"/>
      <c r="B103" s="92">
        <v>3631</v>
      </c>
      <c r="C103" s="63">
        <v>2324</v>
      </c>
      <c r="D103" s="63" t="s">
        <v>122</v>
      </c>
      <c r="E103" s="99">
        <v>0</v>
      </c>
      <c r="F103" s="65">
        <v>1016.8</v>
      </c>
      <c r="G103" s="66">
        <v>1016.8</v>
      </c>
      <c r="H103" s="64">
        <f t="shared" si="1"/>
        <v>100</v>
      </c>
    </row>
    <row r="104" spans="1:8" ht="15">
      <c r="A104" s="95"/>
      <c r="B104" s="96">
        <v>3635</v>
      </c>
      <c r="C104" s="92">
        <v>3122</v>
      </c>
      <c r="D104" s="94" t="s">
        <v>123</v>
      </c>
      <c r="E104" s="69">
        <v>0</v>
      </c>
      <c r="F104" s="70">
        <v>0</v>
      </c>
      <c r="G104" s="71">
        <v>260.2</v>
      </c>
      <c r="H104" s="64" t="e">
        <f t="shared" si="1"/>
        <v>#DIV/0!</v>
      </c>
    </row>
    <row r="105" spans="1:8" ht="15">
      <c r="A105" s="100"/>
      <c r="B105" s="92">
        <v>3725</v>
      </c>
      <c r="C105" s="63">
        <v>2324</v>
      </c>
      <c r="D105" s="63" t="s">
        <v>124</v>
      </c>
      <c r="E105" s="99">
        <v>2000</v>
      </c>
      <c r="F105" s="65">
        <v>2000</v>
      </c>
      <c r="G105" s="66">
        <v>1556</v>
      </c>
      <c r="H105" s="64">
        <f t="shared" si="1"/>
        <v>77.8</v>
      </c>
    </row>
    <row r="106" spans="1:8" ht="15">
      <c r="A106" s="100"/>
      <c r="B106" s="92">
        <v>3745</v>
      </c>
      <c r="C106" s="63">
        <v>2324</v>
      </c>
      <c r="D106" s="63" t="s">
        <v>125</v>
      </c>
      <c r="E106" s="99">
        <v>0</v>
      </c>
      <c r="F106" s="65">
        <v>0</v>
      </c>
      <c r="G106" s="66">
        <v>46.6</v>
      </c>
      <c r="H106" s="64" t="e">
        <f t="shared" si="1"/>
        <v>#DIV/0!</v>
      </c>
    </row>
    <row r="107" spans="1:8" ht="15.75" thickBot="1">
      <c r="A107" s="101"/>
      <c r="B107" s="74"/>
      <c r="C107" s="74"/>
      <c r="D107" s="74"/>
      <c r="E107" s="75"/>
      <c r="F107" s="76"/>
      <c r="G107" s="77"/>
      <c r="H107" s="75"/>
    </row>
    <row r="108" spans="1:8" s="83" customFormat="1" ht="21.75" customHeight="1" thickBot="1" thickTop="1">
      <c r="A108" s="102"/>
      <c r="B108" s="78"/>
      <c r="C108" s="78"/>
      <c r="D108" s="79" t="s">
        <v>126</v>
      </c>
      <c r="E108" s="80">
        <f>SUM(E68:E107)</f>
        <v>51889</v>
      </c>
      <c r="F108" s="81">
        <f>SUM(F68:F107)</f>
        <v>44095.8</v>
      </c>
      <c r="G108" s="82">
        <f>SUM(G68:G107)</f>
        <v>6806.5</v>
      </c>
      <c r="H108" s="80">
        <f>(G108/F108)*100</f>
        <v>15.435710430471836</v>
      </c>
    </row>
    <row r="109" spans="1:8" ht="15" customHeight="1">
      <c r="A109" s="103"/>
      <c r="B109" s="103"/>
      <c r="C109" s="103"/>
      <c r="D109" s="46"/>
      <c r="E109" s="104"/>
      <c r="F109" s="104"/>
      <c r="G109" s="42"/>
      <c r="H109" s="42"/>
    </row>
    <row r="110" spans="1:8" ht="15" customHeight="1" thickBot="1">
      <c r="A110" s="103"/>
      <c r="B110" s="103"/>
      <c r="C110" s="103"/>
      <c r="D110" s="46"/>
      <c r="E110" s="104"/>
      <c r="F110" s="104"/>
      <c r="G110" s="104"/>
      <c r="H110" s="104"/>
    </row>
    <row r="111" spans="1:8" ht="15.75">
      <c r="A111" s="51" t="s">
        <v>25</v>
      </c>
      <c r="B111" s="51" t="s">
        <v>26</v>
      </c>
      <c r="C111" s="51" t="s">
        <v>27</v>
      </c>
      <c r="D111" s="52" t="s">
        <v>28</v>
      </c>
      <c r="E111" s="53" t="s">
        <v>29</v>
      </c>
      <c r="F111" s="53" t="s">
        <v>29</v>
      </c>
      <c r="G111" s="53" t="s">
        <v>8</v>
      </c>
      <c r="H111" s="53" t="s">
        <v>30</v>
      </c>
    </row>
    <row r="112" spans="1:8" ht="15.75" customHeight="1" thickBot="1">
      <c r="A112" s="54"/>
      <c r="B112" s="54"/>
      <c r="C112" s="54"/>
      <c r="D112" s="55"/>
      <c r="E112" s="56" t="s">
        <v>31</v>
      </c>
      <c r="F112" s="56" t="s">
        <v>32</v>
      </c>
      <c r="G112" s="57" t="s">
        <v>33</v>
      </c>
      <c r="H112" s="56" t="s">
        <v>34</v>
      </c>
    </row>
    <row r="113" spans="1:8" ht="16.5" customHeight="1" thickTop="1">
      <c r="A113" s="85">
        <v>30</v>
      </c>
      <c r="B113" s="58"/>
      <c r="C113" s="58"/>
      <c r="D113" s="59" t="s">
        <v>127</v>
      </c>
      <c r="E113" s="105"/>
      <c r="F113" s="106"/>
      <c r="G113" s="107"/>
      <c r="H113" s="105"/>
    </row>
    <row r="114" spans="1:8" ht="15" customHeight="1">
      <c r="A114" s="108"/>
      <c r="B114" s="109"/>
      <c r="C114" s="109"/>
      <c r="D114" s="109"/>
      <c r="E114" s="64"/>
      <c r="F114" s="65"/>
      <c r="G114" s="66"/>
      <c r="H114" s="64"/>
    </row>
    <row r="115" spans="1:8" ht="15" hidden="1">
      <c r="A115" s="98"/>
      <c r="B115" s="63"/>
      <c r="C115" s="63">
        <v>1361</v>
      </c>
      <c r="D115" s="63" t="s">
        <v>37</v>
      </c>
      <c r="E115" s="110"/>
      <c r="F115" s="111"/>
      <c r="G115" s="112"/>
      <c r="H115" s="64" t="e">
        <f>(#REF!/F115)*100</f>
        <v>#REF!</v>
      </c>
    </row>
    <row r="116" spans="1:8" ht="15">
      <c r="A116" s="98"/>
      <c r="B116" s="63"/>
      <c r="C116" s="63">
        <v>2460</v>
      </c>
      <c r="D116" s="63" t="s">
        <v>128</v>
      </c>
      <c r="E116" s="110">
        <v>0</v>
      </c>
      <c r="F116" s="111">
        <v>15</v>
      </c>
      <c r="G116" s="112">
        <v>11</v>
      </c>
      <c r="H116" s="64">
        <f aca="true" t="shared" si="2" ref="H116:H145">(G116/F116)*100</f>
        <v>73.33333333333333</v>
      </c>
    </row>
    <row r="117" spans="1:8" ht="15" customHeight="1" hidden="1">
      <c r="A117" s="98">
        <v>98071</v>
      </c>
      <c r="B117" s="63"/>
      <c r="C117" s="63">
        <v>4111</v>
      </c>
      <c r="D117" s="63" t="s">
        <v>129</v>
      </c>
      <c r="E117" s="110"/>
      <c r="F117" s="111"/>
      <c r="G117" s="112"/>
      <c r="H117" s="64" t="e">
        <f t="shared" si="2"/>
        <v>#DIV/0!</v>
      </c>
    </row>
    <row r="118" spans="1:8" ht="15" customHeight="1" hidden="1">
      <c r="A118" s="98">
        <v>98187</v>
      </c>
      <c r="B118" s="63"/>
      <c r="C118" s="63">
        <v>4111</v>
      </c>
      <c r="D118" s="63" t="s">
        <v>130</v>
      </c>
      <c r="E118" s="110"/>
      <c r="F118" s="111"/>
      <c r="G118" s="112"/>
      <c r="H118" s="64" t="e">
        <f t="shared" si="2"/>
        <v>#DIV/0!</v>
      </c>
    </row>
    <row r="119" spans="1:8" ht="15" hidden="1">
      <c r="A119" s="98">
        <v>98007</v>
      </c>
      <c r="B119" s="63"/>
      <c r="C119" s="63">
        <v>4111</v>
      </c>
      <c r="D119" s="63" t="s">
        <v>131</v>
      </c>
      <c r="E119" s="99"/>
      <c r="F119" s="65"/>
      <c r="G119" s="66"/>
      <c r="H119" s="64" t="e">
        <f t="shared" si="2"/>
        <v>#DIV/0!</v>
      </c>
    </row>
    <row r="120" spans="1:8" ht="15">
      <c r="A120" s="98">
        <v>98008</v>
      </c>
      <c r="B120" s="63"/>
      <c r="C120" s="63">
        <v>4111</v>
      </c>
      <c r="D120" s="63" t="s">
        <v>132</v>
      </c>
      <c r="E120" s="99">
        <v>0</v>
      </c>
      <c r="F120" s="65">
        <v>469.4</v>
      </c>
      <c r="G120" s="66">
        <v>469.4</v>
      </c>
      <c r="H120" s="64">
        <f t="shared" si="2"/>
        <v>100</v>
      </c>
    </row>
    <row r="121" spans="1:8" ht="15">
      <c r="A121" s="98">
        <v>98071</v>
      </c>
      <c r="B121" s="63"/>
      <c r="C121" s="63">
        <v>4111</v>
      </c>
      <c r="D121" s="63" t="s">
        <v>133</v>
      </c>
      <c r="E121" s="113">
        <v>0</v>
      </c>
      <c r="F121" s="61">
        <v>653</v>
      </c>
      <c r="G121" s="66">
        <v>653</v>
      </c>
      <c r="H121" s="64">
        <f t="shared" si="2"/>
        <v>100</v>
      </c>
    </row>
    <row r="122" spans="1:8" ht="15" customHeight="1">
      <c r="A122" s="98">
        <v>13011</v>
      </c>
      <c r="B122" s="63"/>
      <c r="C122" s="63">
        <v>4116</v>
      </c>
      <c r="D122" s="63" t="s">
        <v>134</v>
      </c>
      <c r="E122" s="110">
        <v>0</v>
      </c>
      <c r="F122" s="111">
        <v>5307.4</v>
      </c>
      <c r="G122" s="112">
        <v>5307.5</v>
      </c>
      <c r="H122" s="64">
        <f t="shared" si="2"/>
        <v>100.00188416173646</v>
      </c>
    </row>
    <row r="123" spans="1:8" ht="14.25" customHeight="1" hidden="1">
      <c r="A123" s="98">
        <v>27003</v>
      </c>
      <c r="B123" s="63"/>
      <c r="C123" s="63">
        <v>4116</v>
      </c>
      <c r="D123" s="63" t="s">
        <v>135</v>
      </c>
      <c r="E123" s="110"/>
      <c r="F123" s="111"/>
      <c r="G123" s="112"/>
      <c r="H123" s="64" t="e">
        <f t="shared" si="2"/>
        <v>#DIV/0!</v>
      </c>
    </row>
    <row r="124" spans="1:8" ht="15" customHeight="1" hidden="1">
      <c r="A124" s="98"/>
      <c r="B124" s="63"/>
      <c r="C124" s="63">
        <v>4121</v>
      </c>
      <c r="D124" s="63" t="s">
        <v>136</v>
      </c>
      <c r="E124" s="110"/>
      <c r="F124" s="111"/>
      <c r="G124" s="112"/>
      <c r="H124" s="64" t="e">
        <f t="shared" si="2"/>
        <v>#DIV/0!</v>
      </c>
    </row>
    <row r="125" spans="1:8" ht="15" customHeight="1" hidden="1">
      <c r="A125" s="98"/>
      <c r="B125" s="63"/>
      <c r="C125" s="63">
        <v>4122</v>
      </c>
      <c r="D125" s="63" t="s">
        <v>137</v>
      </c>
      <c r="E125" s="110"/>
      <c r="F125" s="111"/>
      <c r="G125" s="112"/>
      <c r="H125" s="64" t="e">
        <f t="shared" si="2"/>
        <v>#DIV/0!</v>
      </c>
    </row>
    <row r="126" spans="1:8" ht="15" hidden="1">
      <c r="A126" s="98"/>
      <c r="B126" s="63"/>
      <c r="C126" s="63">
        <v>4132</v>
      </c>
      <c r="D126" s="63" t="s">
        <v>138</v>
      </c>
      <c r="E126" s="110"/>
      <c r="F126" s="111"/>
      <c r="G126" s="112"/>
      <c r="H126" s="64" t="e">
        <f t="shared" si="2"/>
        <v>#DIV/0!</v>
      </c>
    </row>
    <row r="127" spans="1:8" ht="15" hidden="1">
      <c r="A127" s="98"/>
      <c r="B127" s="63"/>
      <c r="C127" s="63">
        <v>4216</v>
      </c>
      <c r="D127" s="63" t="s">
        <v>139</v>
      </c>
      <c r="E127" s="110"/>
      <c r="F127" s="111"/>
      <c r="G127" s="112"/>
      <c r="H127" s="64" t="e">
        <f t="shared" si="2"/>
        <v>#DIV/0!</v>
      </c>
    </row>
    <row r="128" spans="1:8" ht="15" customHeight="1" hidden="1">
      <c r="A128" s="98"/>
      <c r="B128" s="63"/>
      <c r="C128" s="63">
        <v>4222</v>
      </c>
      <c r="D128" s="63" t="s">
        <v>140</v>
      </c>
      <c r="E128" s="110"/>
      <c r="F128" s="111"/>
      <c r="G128" s="112"/>
      <c r="H128" s="64" t="e">
        <f t="shared" si="2"/>
        <v>#DIV/0!</v>
      </c>
    </row>
    <row r="129" spans="1:8" ht="15" customHeight="1">
      <c r="A129" s="63">
        <v>14013</v>
      </c>
      <c r="B129" s="63"/>
      <c r="C129" s="63">
        <v>4116</v>
      </c>
      <c r="D129" s="63" t="s">
        <v>141</v>
      </c>
      <c r="E129" s="64">
        <v>0</v>
      </c>
      <c r="F129" s="65">
        <v>2916</v>
      </c>
      <c r="G129" s="66">
        <v>2916</v>
      </c>
      <c r="H129" s="64">
        <f t="shared" si="2"/>
        <v>100</v>
      </c>
    </row>
    <row r="130" spans="1:8" ht="15">
      <c r="A130" s="98"/>
      <c r="B130" s="63">
        <v>3341</v>
      </c>
      <c r="C130" s="63">
        <v>2111</v>
      </c>
      <c r="D130" s="63" t="s">
        <v>142</v>
      </c>
      <c r="E130" s="114">
        <v>3</v>
      </c>
      <c r="F130" s="115">
        <v>3</v>
      </c>
      <c r="G130" s="116">
        <v>3.1</v>
      </c>
      <c r="H130" s="64">
        <f t="shared" si="2"/>
        <v>103.33333333333334</v>
      </c>
    </row>
    <row r="131" spans="1:8" ht="15">
      <c r="A131" s="98"/>
      <c r="B131" s="63">
        <v>3349</v>
      </c>
      <c r="C131" s="63">
        <v>2111</v>
      </c>
      <c r="D131" s="63" t="s">
        <v>143</v>
      </c>
      <c r="E131" s="114">
        <v>900</v>
      </c>
      <c r="F131" s="115">
        <v>900</v>
      </c>
      <c r="G131" s="116">
        <v>734.6</v>
      </c>
      <c r="H131" s="64">
        <f t="shared" si="2"/>
        <v>81.62222222222223</v>
      </c>
    </row>
    <row r="132" spans="1:8" ht="15" hidden="1">
      <c r="A132" s="98"/>
      <c r="B132" s="63">
        <v>5512</v>
      </c>
      <c r="C132" s="63">
        <v>2132</v>
      </c>
      <c r="D132" s="63" t="s">
        <v>144</v>
      </c>
      <c r="E132" s="64"/>
      <c r="F132" s="65"/>
      <c r="G132" s="66"/>
      <c r="H132" s="64" t="e">
        <f t="shared" si="2"/>
        <v>#DIV/0!</v>
      </c>
    </row>
    <row r="133" spans="1:8" ht="15">
      <c r="A133" s="98"/>
      <c r="B133" s="63">
        <v>5512</v>
      </c>
      <c r="C133" s="63">
        <v>2324</v>
      </c>
      <c r="D133" s="63" t="s">
        <v>145</v>
      </c>
      <c r="E133" s="64">
        <v>0</v>
      </c>
      <c r="F133" s="65">
        <v>0</v>
      </c>
      <c r="G133" s="66">
        <v>20.2</v>
      </c>
      <c r="H133" s="64" t="e">
        <f t="shared" si="2"/>
        <v>#DIV/0!</v>
      </c>
    </row>
    <row r="134" spans="1:8" ht="15" hidden="1">
      <c r="A134" s="98"/>
      <c r="B134" s="63">
        <v>5512</v>
      </c>
      <c r="C134" s="63">
        <v>3113</v>
      </c>
      <c r="D134" s="63" t="s">
        <v>146</v>
      </c>
      <c r="E134" s="64"/>
      <c r="F134" s="65"/>
      <c r="G134" s="62"/>
      <c r="H134" s="64" t="e">
        <f t="shared" si="2"/>
        <v>#DIV/0!</v>
      </c>
    </row>
    <row r="135" spans="1:8" ht="15">
      <c r="A135" s="98"/>
      <c r="B135" s="63">
        <v>6171</v>
      </c>
      <c r="C135" s="63">
        <v>2111</v>
      </c>
      <c r="D135" s="63" t="s">
        <v>147</v>
      </c>
      <c r="E135" s="114">
        <v>150</v>
      </c>
      <c r="F135" s="115">
        <v>150</v>
      </c>
      <c r="G135" s="116">
        <v>151.3</v>
      </c>
      <c r="H135" s="64">
        <f t="shared" si="2"/>
        <v>100.86666666666669</v>
      </c>
    </row>
    <row r="136" spans="1:8" ht="15">
      <c r="A136" s="98"/>
      <c r="B136" s="63">
        <v>6171</v>
      </c>
      <c r="C136" s="63">
        <v>2132</v>
      </c>
      <c r="D136" s="63" t="s">
        <v>148</v>
      </c>
      <c r="E136" s="99">
        <v>60</v>
      </c>
      <c r="F136" s="65">
        <v>60</v>
      </c>
      <c r="G136" s="66">
        <v>60.6</v>
      </c>
      <c r="H136" s="64">
        <f t="shared" si="2"/>
        <v>101</v>
      </c>
    </row>
    <row r="137" spans="1:8" ht="15" hidden="1">
      <c r="A137" s="98"/>
      <c r="B137" s="63">
        <v>6171</v>
      </c>
      <c r="C137" s="63">
        <v>2210</v>
      </c>
      <c r="D137" s="63" t="s">
        <v>149</v>
      </c>
      <c r="E137" s="69"/>
      <c r="F137" s="70"/>
      <c r="G137" s="71"/>
      <c r="H137" s="64" t="e">
        <f t="shared" si="2"/>
        <v>#DIV/0!</v>
      </c>
    </row>
    <row r="138" spans="1:8" ht="15" hidden="1">
      <c r="A138" s="98"/>
      <c r="B138" s="63">
        <v>6171</v>
      </c>
      <c r="C138" s="63">
        <v>2310</v>
      </c>
      <c r="D138" s="63" t="s">
        <v>150</v>
      </c>
      <c r="E138" s="64"/>
      <c r="F138" s="65"/>
      <c r="G138" s="66"/>
      <c r="H138" s="64" t="e">
        <f t="shared" si="2"/>
        <v>#DIV/0!</v>
      </c>
    </row>
    <row r="139" spans="1:8" ht="15" hidden="1">
      <c r="A139" s="98"/>
      <c r="B139" s="63">
        <v>6171</v>
      </c>
      <c r="C139" s="63">
        <v>2310</v>
      </c>
      <c r="D139" s="63" t="s">
        <v>150</v>
      </c>
      <c r="E139" s="64"/>
      <c r="F139" s="65"/>
      <c r="G139" s="66"/>
      <c r="H139" s="64" t="e">
        <f t="shared" si="2"/>
        <v>#DIV/0!</v>
      </c>
    </row>
    <row r="140" spans="1:8" ht="15" hidden="1">
      <c r="A140" s="98"/>
      <c r="B140" s="63">
        <v>6171</v>
      </c>
      <c r="C140" s="63">
        <v>2133</v>
      </c>
      <c r="D140" s="63" t="s">
        <v>151</v>
      </c>
      <c r="E140" s="117"/>
      <c r="F140" s="115"/>
      <c r="G140" s="116"/>
      <c r="H140" s="64" t="e">
        <f t="shared" si="2"/>
        <v>#DIV/0!</v>
      </c>
    </row>
    <row r="141" spans="1:8" ht="15" hidden="1">
      <c r="A141" s="98"/>
      <c r="B141" s="63">
        <v>6171</v>
      </c>
      <c r="C141" s="63">
        <v>2310</v>
      </c>
      <c r="D141" s="63" t="s">
        <v>152</v>
      </c>
      <c r="E141" s="117"/>
      <c r="F141" s="115"/>
      <c r="G141" s="116"/>
      <c r="H141" s="64" t="e">
        <f t="shared" si="2"/>
        <v>#DIV/0!</v>
      </c>
    </row>
    <row r="142" spans="1:8" ht="15" hidden="1">
      <c r="A142" s="98"/>
      <c r="B142" s="63">
        <v>6171</v>
      </c>
      <c r="C142" s="63">
        <v>2322</v>
      </c>
      <c r="D142" s="63" t="s">
        <v>153</v>
      </c>
      <c r="E142" s="99"/>
      <c r="F142" s="65"/>
      <c r="G142" s="66"/>
      <c r="H142" s="64" t="e">
        <f t="shared" si="2"/>
        <v>#DIV/0!</v>
      </c>
    </row>
    <row r="143" spans="1:8" ht="15">
      <c r="A143" s="98"/>
      <c r="B143" s="63">
        <v>6171</v>
      </c>
      <c r="C143" s="63">
        <v>2324</v>
      </c>
      <c r="D143" s="63" t="s">
        <v>154</v>
      </c>
      <c r="E143" s="99">
        <v>50</v>
      </c>
      <c r="F143" s="65">
        <v>841.6</v>
      </c>
      <c r="G143" s="66">
        <v>993.4</v>
      </c>
      <c r="H143" s="64">
        <f t="shared" si="2"/>
        <v>118.037072243346</v>
      </c>
    </row>
    <row r="144" spans="1:8" ht="15">
      <c r="A144" s="98"/>
      <c r="B144" s="63">
        <v>6171</v>
      </c>
      <c r="C144" s="63">
        <v>2329</v>
      </c>
      <c r="D144" s="63" t="s">
        <v>155</v>
      </c>
      <c r="E144" s="99">
        <v>0</v>
      </c>
      <c r="F144" s="65">
        <v>0</v>
      </c>
      <c r="G144" s="66">
        <v>5.6</v>
      </c>
      <c r="H144" s="64" t="e">
        <f t="shared" si="2"/>
        <v>#DIV/0!</v>
      </c>
    </row>
    <row r="145" spans="1:8" ht="15">
      <c r="A145" s="98"/>
      <c r="B145" s="63">
        <v>6409</v>
      </c>
      <c r="C145" s="63">
        <v>2328</v>
      </c>
      <c r="D145" s="63" t="s">
        <v>156</v>
      </c>
      <c r="E145" s="99">
        <v>0</v>
      </c>
      <c r="F145" s="65">
        <v>0</v>
      </c>
      <c r="G145" s="66">
        <v>0</v>
      </c>
      <c r="H145" s="64" t="e">
        <f t="shared" si="2"/>
        <v>#DIV/0!</v>
      </c>
    </row>
    <row r="146" spans="1:8" ht="15" hidden="1">
      <c r="A146" s="98"/>
      <c r="B146" s="63"/>
      <c r="C146" s="63"/>
      <c r="D146" s="63"/>
      <c r="E146" s="99">
        <v>0</v>
      </c>
      <c r="F146" s="65">
        <v>0</v>
      </c>
      <c r="G146" s="66"/>
      <c r="H146" s="64" t="e">
        <f>(#REF!/F146)*100</f>
        <v>#REF!</v>
      </c>
    </row>
    <row r="147" spans="1:8" ht="15.75" thickBot="1">
      <c r="A147" s="118"/>
      <c r="B147" s="119"/>
      <c r="C147" s="119"/>
      <c r="D147" s="119"/>
      <c r="E147" s="120"/>
      <c r="F147" s="121"/>
      <c r="G147" s="122"/>
      <c r="H147" s="120"/>
    </row>
    <row r="148" spans="1:8" s="83" customFormat="1" ht="21.75" customHeight="1" thickBot="1" thickTop="1">
      <c r="A148" s="123"/>
      <c r="B148" s="124"/>
      <c r="C148" s="124"/>
      <c r="D148" s="125" t="s">
        <v>157</v>
      </c>
      <c r="E148" s="126">
        <f>SUM(E115:E147)</f>
        <v>1163</v>
      </c>
      <c r="F148" s="127">
        <f>SUM(F115:F147)</f>
        <v>11315.4</v>
      </c>
      <c r="G148" s="128">
        <f>SUM(G114:G147)</f>
        <v>11325.7</v>
      </c>
      <c r="H148" s="80">
        <f>(G148/F148)*100</f>
        <v>100.09102638881527</v>
      </c>
    </row>
    <row r="149" spans="1:8" ht="15" customHeight="1">
      <c r="A149" s="103"/>
      <c r="B149" s="103"/>
      <c r="C149" s="103"/>
      <c r="D149" s="46"/>
      <c r="E149" s="104"/>
      <c r="F149" s="104"/>
      <c r="G149" s="104"/>
      <c r="H149" s="104"/>
    </row>
    <row r="150" spans="1:8" ht="12.75" customHeight="1" hidden="1">
      <c r="A150" s="103"/>
      <c r="B150" s="103"/>
      <c r="C150" s="103"/>
      <c r="D150" s="46"/>
      <c r="E150" s="104"/>
      <c r="F150" s="104"/>
      <c r="G150" s="104"/>
      <c r="H150" s="104"/>
    </row>
    <row r="151" spans="1:8" ht="15" customHeight="1" thickBot="1">
      <c r="A151" s="103"/>
      <c r="B151" s="103"/>
      <c r="C151" s="103"/>
      <c r="D151" s="46"/>
      <c r="E151" s="104"/>
      <c r="F151" s="104"/>
      <c r="G151" s="104"/>
      <c r="H151" s="104"/>
    </row>
    <row r="152" spans="1:8" ht="15.75">
      <c r="A152" s="51" t="s">
        <v>25</v>
      </c>
      <c r="B152" s="51" t="s">
        <v>26</v>
      </c>
      <c r="C152" s="51" t="s">
        <v>27</v>
      </c>
      <c r="D152" s="52" t="s">
        <v>28</v>
      </c>
      <c r="E152" s="53" t="s">
        <v>29</v>
      </c>
      <c r="F152" s="53" t="s">
        <v>29</v>
      </c>
      <c r="G152" s="53" t="s">
        <v>8</v>
      </c>
      <c r="H152" s="53" t="s">
        <v>30</v>
      </c>
    </row>
    <row r="153" spans="1:8" ht="15.75" customHeight="1" thickBot="1">
      <c r="A153" s="54"/>
      <c r="B153" s="54"/>
      <c r="C153" s="54"/>
      <c r="D153" s="55"/>
      <c r="E153" s="56" t="s">
        <v>31</v>
      </c>
      <c r="F153" s="56" t="s">
        <v>32</v>
      </c>
      <c r="G153" s="57" t="s">
        <v>33</v>
      </c>
      <c r="H153" s="56" t="s">
        <v>34</v>
      </c>
    </row>
    <row r="154" spans="1:8" ht="16.5" customHeight="1" thickTop="1">
      <c r="A154" s="58">
        <v>50</v>
      </c>
      <c r="B154" s="58"/>
      <c r="C154" s="58"/>
      <c r="D154" s="59" t="s">
        <v>158</v>
      </c>
      <c r="E154" s="60"/>
      <c r="F154" s="61"/>
      <c r="G154" s="62"/>
      <c r="H154" s="60"/>
    </row>
    <row r="155" spans="1:8" ht="15" customHeight="1">
      <c r="A155" s="63"/>
      <c r="B155" s="63"/>
      <c r="C155" s="63"/>
      <c r="D155" s="109"/>
      <c r="E155" s="64"/>
      <c r="F155" s="65"/>
      <c r="G155" s="66"/>
      <c r="H155" s="64"/>
    </row>
    <row r="156" spans="1:8" ht="15" hidden="1">
      <c r="A156" s="63"/>
      <c r="B156" s="63"/>
      <c r="C156" s="63">
        <v>1361</v>
      </c>
      <c r="D156" s="63" t="s">
        <v>37</v>
      </c>
      <c r="E156" s="99"/>
      <c r="F156" s="65"/>
      <c r="G156" s="66"/>
      <c r="H156" s="64" t="e">
        <f>(#REF!/F156)*100</f>
        <v>#REF!</v>
      </c>
    </row>
    <row r="157" spans="1:8" ht="15">
      <c r="A157" s="63"/>
      <c r="B157" s="63"/>
      <c r="C157" s="63">
        <v>2451</v>
      </c>
      <c r="D157" s="63" t="s">
        <v>159</v>
      </c>
      <c r="E157" s="64">
        <v>4000</v>
      </c>
      <c r="F157" s="65">
        <v>4000</v>
      </c>
      <c r="G157" s="66">
        <v>4000</v>
      </c>
      <c r="H157" s="64">
        <f aca="true" t="shared" si="3" ref="H157:H173">(G157/F157)*100</f>
        <v>100</v>
      </c>
    </row>
    <row r="158" spans="1:8" ht="15">
      <c r="A158" s="63">
        <v>13010</v>
      </c>
      <c r="B158" s="63"/>
      <c r="C158" s="63">
        <v>4116</v>
      </c>
      <c r="D158" s="63" t="s">
        <v>160</v>
      </c>
      <c r="E158" s="64">
        <v>0</v>
      </c>
      <c r="F158" s="65">
        <v>272</v>
      </c>
      <c r="G158" s="66">
        <v>272</v>
      </c>
      <c r="H158" s="64">
        <f t="shared" si="3"/>
        <v>100</v>
      </c>
    </row>
    <row r="159" spans="1:8" ht="15" hidden="1">
      <c r="A159" s="63">
        <v>434</v>
      </c>
      <c r="B159" s="63"/>
      <c r="C159" s="63">
        <v>4122</v>
      </c>
      <c r="D159" s="63" t="s">
        <v>161</v>
      </c>
      <c r="E159" s="64"/>
      <c r="F159" s="65"/>
      <c r="G159" s="66"/>
      <c r="H159" s="64" t="e">
        <f t="shared" si="3"/>
        <v>#DIV/0!</v>
      </c>
    </row>
    <row r="160" spans="1:8" ht="15" customHeight="1">
      <c r="A160" s="63"/>
      <c r="B160" s="63">
        <v>3599</v>
      </c>
      <c r="C160" s="63">
        <v>2324</v>
      </c>
      <c r="D160" s="63" t="s">
        <v>162</v>
      </c>
      <c r="E160" s="64">
        <v>3</v>
      </c>
      <c r="F160" s="65">
        <v>3</v>
      </c>
      <c r="G160" s="66">
        <v>3.8</v>
      </c>
      <c r="H160" s="64">
        <f t="shared" si="3"/>
        <v>126.66666666666666</v>
      </c>
    </row>
    <row r="161" spans="1:8" ht="15" customHeight="1">
      <c r="A161" s="63"/>
      <c r="B161" s="63">
        <v>4171</v>
      </c>
      <c r="C161" s="63">
        <v>2229</v>
      </c>
      <c r="D161" s="63" t="s">
        <v>163</v>
      </c>
      <c r="E161" s="64">
        <v>0</v>
      </c>
      <c r="F161" s="65">
        <v>0</v>
      </c>
      <c r="G161" s="66">
        <v>15.1</v>
      </c>
      <c r="H161" s="64" t="e">
        <f t="shared" si="3"/>
        <v>#DIV/0!</v>
      </c>
    </row>
    <row r="162" spans="1:8" ht="15" customHeight="1">
      <c r="A162" s="63"/>
      <c r="B162" s="63">
        <v>4179</v>
      </c>
      <c r="C162" s="63">
        <v>2229</v>
      </c>
      <c r="D162" s="63" t="s">
        <v>164</v>
      </c>
      <c r="E162" s="64">
        <v>0</v>
      </c>
      <c r="F162" s="65">
        <v>0</v>
      </c>
      <c r="G162" s="66">
        <v>1.5</v>
      </c>
      <c r="H162" s="64" t="e">
        <f t="shared" si="3"/>
        <v>#DIV/0!</v>
      </c>
    </row>
    <row r="163" spans="1:8" ht="15">
      <c r="A163" s="63"/>
      <c r="B163" s="63">
        <v>4195</v>
      </c>
      <c r="C163" s="63">
        <v>2229</v>
      </c>
      <c r="D163" s="63" t="s">
        <v>165</v>
      </c>
      <c r="E163" s="64">
        <v>0</v>
      </c>
      <c r="F163" s="65">
        <v>0</v>
      </c>
      <c r="G163" s="66">
        <v>20</v>
      </c>
      <c r="H163" s="64" t="e">
        <f t="shared" si="3"/>
        <v>#DIV/0!</v>
      </c>
    </row>
    <row r="164" spans="1:8" ht="15" hidden="1">
      <c r="A164" s="63"/>
      <c r="B164" s="63">
        <v>4329</v>
      </c>
      <c r="C164" s="63">
        <v>2229</v>
      </c>
      <c r="D164" s="63" t="s">
        <v>166</v>
      </c>
      <c r="E164" s="64"/>
      <c r="F164" s="65"/>
      <c r="G164" s="66"/>
      <c r="H164" s="64" t="e">
        <f t="shared" si="3"/>
        <v>#DIV/0!</v>
      </c>
    </row>
    <row r="165" spans="1:8" ht="15" hidden="1">
      <c r="A165" s="63"/>
      <c r="B165" s="63">
        <v>4329</v>
      </c>
      <c r="C165" s="63">
        <v>2324</v>
      </c>
      <c r="D165" s="63" t="s">
        <v>167</v>
      </c>
      <c r="E165" s="64"/>
      <c r="F165" s="65"/>
      <c r="G165" s="66"/>
      <c r="H165" s="64" t="e">
        <f t="shared" si="3"/>
        <v>#DIV/0!</v>
      </c>
    </row>
    <row r="166" spans="1:8" ht="15" hidden="1">
      <c r="A166" s="63"/>
      <c r="B166" s="63">
        <v>4342</v>
      </c>
      <c r="C166" s="63">
        <v>2324</v>
      </c>
      <c r="D166" s="63" t="s">
        <v>168</v>
      </c>
      <c r="E166" s="64"/>
      <c r="F166" s="65"/>
      <c r="G166" s="66"/>
      <c r="H166" s="64" t="e">
        <f t="shared" si="3"/>
        <v>#DIV/0!</v>
      </c>
    </row>
    <row r="167" spans="1:8" ht="15" hidden="1">
      <c r="A167" s="63"/>
      <c r="B167" s="63">
        <v>4349</v>
      </c>
      <c r="C167" s="63">
        <v>2229</v>
      </c>
      <c r="D167" s="63" t="s">
        <v>169</v>
      </c>
      <c r="E167" s="64"/>
      <c r="F167" s="65"/>
      <c r="G167" s="66"/>
      <c r="H167" s="64" t="e">
        <f t="shared" si="3"/>
        <v>#DIV/0!</v>
      </c>
    </row>
    <row r="168" spans="1:8" ht="15" hidden="1">
      <c r="A168" s="63"/>
      <c r="B168" s="63">
        <v>4399</v>
      </c>
      <c r="C168" s="63">
        <v>2111</v>
      </c>
      <c r="D168" s="63" t="s">
        <v>170</v>
      </c>
      <c r="E168" s="64"/>
      <c r="F168" s="65"/>
      <c r="G168" s="66"/>
      <c r="H168" s="64" t="e">
        <f t="shared" si="3"/>
        <v>#DIV/0!</v>
      </c>
    </row>
    <row r="169" spans="1:8" ht="15" hidden="1">
      <c r="A169" s="63"/>
      <c r="B169" s="63">
        <v>6171</v>
      </c>
      <c r="C169" s="63">
        <v>2111</v>
      </c>
      <c r="D169" s="63" t="s">
        <v>171</v>
      </c>
      <c r="E169" s="64"/>
      <c r="F169" s="65"/>
      <c r="G169" s="66"/>
      <c r="H169" s="64" t="e">
        <f t="shared" si="3"/>
        <v>#DIV/0!</v>
      </c>
    </row>
    <row r="170" spans="1:8" ht="15">
      <c r="A170" s="63"/>
      <c r="B170" s="63">
        <v>4379</v>
      </c>
      <c r="C170" s="63">
        <v>2212</v>
      </c>
      <c r="D170" s="63" t="s">
        <v>172</v>
      </c>
      <c r="E170" s="64">
        <v>10</v>
      </c>
      <c r="F170" s="65">
        <v>10</v>
      </c>
      <c r="G170" s="66">
        <v>4.1</v>
      </c>
      <c r="H170" s="64">
        <f t="shared" si="3"/>
        <v>41</v>
      </c>
    </row>
    <row r="171" spans="1:8" ht="15">
      <c r="A171" s="68"/>
      <c r="B171" s="68">
        <v>4399</v>
      </c>
      <c r="C171" s="68">
        <v>2324</v>
      </c>
      <c r="D171" s="68" t="s">
        <v>173</v>
      </c>
      <c r="E171" s="69">
        <v>0</v>
      </c>
      <c r="F171" s="70">
        <v>0</v>
      </c>
      <c r="G171" s="66">
        <v>10</v>
      </c>
      <c r="H171" s="64" t="e">
        <f t="shared" si="3"/>
        <v>#DIV/0!</v>
      </c>
    </row>
    <row r="172" spans="1:8" ht="15" hidden="1">
      <c r="A172" s="63"/>
      <c r="B172" s="63">
        <v>6171</v>
      </c>
      <c r="C172" s="63">
        <v>2212</v>
      </c>
      <c r="D172" s="63" t="s">
        <v>172</v>
      </c>
      <c r="E172" s="64"/>
      <c r="F172" s="65"/>
      <c r="G172" s="66"/>
      <c r="H172" s="64" t="e">
        <f t="shared" si="3"/>
        <v>#DIV/0!</v>
      </c>
    </row>
    <row r="173" spans="1:8" ht="15">
      <c r="A173" s="68"/>
      <c r="B173" s="63">
        <v>6171</v>
      </c>
      <c r="C173" s="63">
        <v>2324</v>
      </c>
      <c r="D173" s="63" t="s">
        <v>174</v>
      </c>
      <c r="E173" s="64">
        <v>8</v>
      </c>
      <c r="F173" s="65">
        <v>8</v>
      </c>
      <c r="G173" s="66">
        <v>1</v>
      </c>
      <c r="H173" s="64">
        <f t="shared" si="3"/>
        <v>12.5</v>
      </c>
    </row>
    <row r="174" spans="1:8" ht="15" customHeight="1" thickBot="1">
      <c r="A174" s="119"/>
      <c r="B174" s="119"/>
      <c r="C174" s="119"/>
      <c r="D174" s="119"/>
      <c r="E174" s="120"/>
      <c r="F174" s="121"/>
      <c r="G174" s="122"/>
      <c r="H174" s="64"/>
    </row>
    <row r="175" spans="1:8" s="83" customFormat="1" ht="21.75" customHeight="1" thickBot="1" thickTop="1">
      <c r="A175" s="124"/>
      <c r="B175" s="124"/>
      <c r="C175" s="124"/>
      <c r="D175" s="125" t="s">
        <v>175</v>
      </c>
      <c r="E175" s="126">
        <f>SUM(E155:E174)</f>
        <v>4021</v>
      </c>
      <c r="F175" s="127">
        <f>SUM(F155:F174)</f>
        <v>4293</v>
      </c>
      <c r="G175" s="128">
        <f>SUM(G155:G174)</f>
        <v>4327.500000000001</v>
      </c>
      <c r="H175" s="80">
        <f>(G175/F175)*100</f>
        <v>100.80363382250177</v>
      </c>
    </row>
    <row r="176" spans="1:8" ht="15" customHeight="1">
      <c r="A176" s="103"/>
      <c r="B176" s="83"/>
      <c r="C176" s="103"/>
      <c r="D176" s="129"/>
      <c r="E176" s="104"/>
      <c r="F176" s="104"/>
      <c r="G176" s="42"/>
      <c r="H176" s="42"/>
    </row>
    <row r="177" spans="1:8" ht="14.25" customHeight="1" thickBot="1">
      <c r="A177" s="83"/>
      <c r="B177" s="83"/>
      <c r="C177" s="83"/>
      <c r="D177" s="83"/>
      <c r="E177" s="84"/>
      <c r="F177" s="84"/>
      <c r="G177" s="84"/>
      <c r="H177" s="84"/>
    </row>
    <row r="178" spans="1:8" ht="13.5" customHeight="1" hidden="1">
      <c r="A178" s="83"/>
      <c r="B178" s="83"/>
      <c r="C178" s="83"/>
      <c r="D178" s="83"/>
      <c r="E178" s="84"/>
      <c r="F178" s="84"/>
      <c r="G178" s="84"/>
      <c r="H178" s="84"/>
    </row>
    <row r="179" spans="1:8" ht="13.5" customHeight="1" hidden="1">
      <c r="A179" s="83"/>
      <c r="B179" s="83"/>
      <c r="C179" s="83"/>
      <c r="D179" s="83"/>
      <c r="E179" s="84"/>
      <c r="F179" s="84"/>
      <c r="G179" s="84"/>
      <c r="H179" s="84"/>
    </row>
    <row r="180" spans="1:8" ht="13.5" customHeight="1" hidden="1" thickBot="1">
      <c r="A180" s="83"/>
      <c r="B180" s="83"/>
      <c r="C180" s="83"/>
      <c r="D180" s="83"/>
      <c r="E180" s="84"/>
      <c r="F180" s="84"/>
      <c r="G180" s="84"/>
      <c r="H180" s="84"/>
    </row>
    <row r="181" spans="1:8" ht="15.75">
      <c r="A181" s="51" t="s">
        <v>25</v>
      </c>
      <c r="B181" s="51" t="s">
        <v>26</v>
      </c>
      <c r="C181" s="51" t="s">
        <v>27</v>
      </c>
      <c r="D181" s="52" t="s">
        <v>28</v>
      </c>
      <c r="E181" s="53" t="s">
        <v>29</v>
      </c>
      <c r="F181" s="53" t="s">
        <v>29</v>
      </c>
      <c r="G181" s="53" t="s">
        <v>8</v>
      </c>
      <c r="H181" s="53" t="s">
        <v>30</v>
      </c>
    </row>
    <row r="182" spans="1:8" ht="15.75" customHeight="1" thickBot="1">
      <c r="A182" s="54"/>
      <c r="B182" s="54"/>
      <c r="C182" s="54"/>
      <c r="D182" s="55"/>
      <c r="E182" s="56" t="s">
        <v>31</v>
      </c>
      <c r="F182" s="56" t="s">
        <v>32</v>
      </c>
      <c r="G182" s="57" t="s">
        <v>33</v>
      </c>
      <c r="H182" s="56" t="s">
        <v>34</v>
      </c>
    </row>
    <row r="183" spans="1:8" ht="15.75" customHeight="1" thickTop="1">
      <c r="A183" s="58">
        <v>60</v>
      </c>
      <c r="B183" s="58"/>
      <c r="C183" s="58"/>
      <c r="D183" s="59" t="s">
        <v>176</v>
      </c>
      <c r="E183" s="60"/>
      <c r="F183" s="61"/>
      <c r="G183" s="62"/>
      <c r="H183" s="60"/>
    </row>
    <row r="184" spans="1:8" ht="14.25" customHeight="1">
      <c r="A184" s="109"/>
      <c r="B184" s="109"/>
      <c r="C184" s="109"/>
      <c r="D184" s="109"/>
      <c r="E184" s="64"/>
      <c r="F184" s="65"/>
      <c r="G184" s="66"/>
      <c r="H184" s="64"/>
    </row>
    <row r="185" spans="1:8" ht="15" hidden="1">
      <c r="A185" s="63"/>
      <c r="B185" s="63"/>
      <c r="C185" s="63">
        <v>1332</v>
      </c>
      <c r="D185" s="63" t="s">
        <v>177</v>
      </c>
      <c r="E185" s="64"/>
      <c r="F185" s="65"/>
      <c r="G185" s="66"/>
      <c r="H185" s="64" t="e">
        <f>(#REF!/F185)*100</f>
        <v>#REF!</v>
      </c>
    </row>
    <row r="186" spans="1:8" ht="15">
      <c r="A186" s="63"/>
      <c r="B186" s="63"/>
      <c r="C186" s="63">
        <v>1333</v>
      </c>
      <c r="D186" s="63" t="s">
        <v>178</v>
      </c>
      <c r="E186" s="64">
        <v>500</v>
      </c>
      <c r="F186" s="65">
        <v>500</v>
      </c>
      <c r="G186" s="66">
        <v>708.2</v>
      </c>
      <c r="H186" s="64">
        <f aca="true" t="shared" si="4" ref="H186:H198">(G186/F186)*100</f>
        <v>141.64000000000001</v>
      </c>
    </row>
    <row r="187" spans="1:8" ht="15">
      <c r="A187" s="63"/>
      <c r="B187" s="63"/>
      <c r="C187" s="63">
        <v>1334</v>
      </c>
      <c r="D187" s="63" t="s">
        <v>179</v>
      </c>
      <c r="E187" s="64">
        <v>50</v>
      </c>
      <c r="F187" s="65">
        <v>50</v>
      </c>
      <c r="G187" s="66">
        <v>37.6</v>
      </c>
      <c r="H187" s="64">
        <f t="shared" si="4"/>
        <v>75.2</v>
      </c>
    </row>
    <row r="188" spans="1:8" ht="15">
      <c r="A188" s="63"/>
      <c r="B188" s="63"/>
      <c r="C188" s="63">
        <v>1335</v>
      </c>
      <c r="D188" s="63" t="s">
        <v>180</v>
      </c>
      <c r="E188" s="64">
        <v>6</v>
      </c>
      <c r="F188" s="65">
        <v>6</v>
      </c>
      <c r="G188" s="66">
        <v>13</v>
      </c>
      <c r="H188" s="64">
        <f t="shared" si="4"/>
        <v>216.66666666666666</v>
      </c>
    </row>
    <row r="189" spans="1:8" ht="15">
      <c r="A189" s="63"/>
      <c r="B189" s="63"/>
      <c r="C189" s="63">
        <v>1361</v>
      </c>
      <c r="D189" s="63" t="s">
        <v>37</v>
      </c>
      <c r="E189" s="64">
        <v>240</v>
      </c>
      <c r="F189" s="65">
        <v>240</v>
      </c>
      <c r="G189" s="66">
        <v>253.3</v>
      </c>
      <c r="H189" s="64">
        <f t="shared" si="4"/>
        <v>105.54166666666667</v>
      </c>
    </row>
    <row r="190" spans="1:8" ht="15" customHeight="1">
      <c r="A190" s="63">
        <v>29004</v>
      </c>
      <c r="B190" s="63"/>
      <c r="C190" s="63">
        <v>4116</v>
      </c>
      <c r="D190" s="63" t="s">
        <v>181</v>
      </c>
      <c r="E190" s="64">
        <v>0</v>
      </c>
      <c r="F190" s="65">
        <v>68.3</v>
      </c>
      <c r="G190" s="66">
        <v>68.3</v>
      </c>
      <c r="H190" s="64">
        <f t="shared" si="4"/>
        <v>100</v>
      </c>
    </row>
    <row r="191" spans="1:8" ht="15">
      <c r="A191" s="63">
        <v>29008</v>
      </c>
      <c r="B191" s="63"/>
      <c r="C191" s="63">
        <v>4116</v>
      </c>
      <c r="D191" s="63" t="s">
        <v>182</v>
      </c>
      <c r="E191" s="64">
        <v>0</v>
      </c>
      <c r="F191" s="65">
        <v>70.3</v>
      </c>
      <c r="G191" s="66">
        <v>70.2</v>
      </c>
      <c r="H191" s="64">
        <f t="shared" si="4"/>
        <v>99.85775248933145</v>
      </c>
    </row>
    <row r="192" spans="1:8" ht="15" hidden="1">
      <c r="A192" s="63">
        <v>29516</v>
      </c>
      <c r="B192" s="63"/>
      <c r="C192" s="63">
        <v>4216</v>
      </c>
      <c r="D192" s="63" t="s">
        <v>183</v>
      </c>
      <c r="E192" s="64"/>
      <c r="F192" s="65"/>
      <c r="G192" s="66"/>
      <c r="H192" s="64" t="e">
        <f t="shared" si="4"/>
        <v>#DIV/0!</v>
      </c>
    </row>
    <row r="193" spans="1:8" ht="15">
      <c r="A193" s="68"/>
      <c r="B193" s="68"/>
      <c r="C193" s="68">
        <v>4122</v>
      </c>
      <c r="D193" s="68" t="s">
        <v>184</v>
      </c>
      <c r="E193" s="69">
        <v>0</v>
      </c>
      <c r="F193" s="70">
        <v>20</v>
      </c>
      <c r="G193" s="71">
        <v>20</v>
      </c>
      <c r="H193" s="64">
        <f t="shared" si="4"/>
        <v>100</v>
      </c>
    </row>
    <row r="194" spans="1:8" ht="15">
      <c r="A194" s="68"/>
      <c r="B194" s="68">
        <v>1014</v>
      </c>
      <c r="C194" s="68">
        <v>2132</v>
      </c>
      <c r="D194" s="68" t="s">
        <v>185</v>
      </c>
      <c r="E194" s="69">
        <v>24</v>
      </c>
      <c r="F194" s="70">
        <v>24</v>
      </c>
      <c r="G194" s="71">
        <v>20.7</v>
      </c>
      <c r="H194" s="64">
        <f t="shared" si="4"/>
        <v>86.25</v>
      </c>
    </row>
    <row r="195" spans="1:8" ht="15">
      <c r="A195" s="68"/>
      <c r="B195" s="68">
        <v>2119</v>
      </c>
      <c r="C195" s="68">
        <v>2343</v>
      </c>
      <c r="D195" s="68" t="s">
        <v>186</v>
      </c>
      <c r="E195" s="69">
        <v>12000</v>
      </c>
      <c r="F195" s="70">
        <v>12000</v>
      </c>
      <c r="G195" s="71">
        <v>16335</v>
      </c>
      <c r="H195" s="64">
        <f t="shared" si="4"/>
        <v>136.125</v>
      </c>
    </row>
    <row r="196" spans="1:8" ht="15">
      <c r="A196" s="68"/>
      <c r="B196" s="68">
        <v>3749</v>
      </c>
      <c r="C196" s="68">
        <v>2321</v>
      </c>
      <c r="D196" s="68" t="s">
        <v>187</v>
      </c>
      <c r="E196" s="69">
        <v>5</v>
      </c>
      <c r="F196" s="70">
        <v>5</v>
      </c>
      <c r="G196" s="71">
        <v>0</v>
      </c>
      <c r="H196" s="64">
        <f t="shared" si="4"/>
        <v>0</v>
      </c>
    </row>
    <row r="197" spans="1:8" ht="15">
      <c r="A197" s="63"/>
      <c r="B197" s="63">
        <v>6171</v>
      </c>
      <c r="C197" s="63">
        <v>2212</v>
      </c>
      <c r="D197" s="63" t="s">
        <v>149</v>
      </c>
      <c r="E197" s="64">
        <v>60</v>
      </c>
      <c r="F197" s="65">
        <v>60</v>
      </c>
      <c r="G197" s="66">
        <v>167.1</v>
      </c>
      <c r="H197" s="64">
        <f t="shared" si="4"/>
        <v>278.49999999999994</v>
      </c>
    </row>
    <row r="198" spans="1:8" ht="15">
      <c r="A198" s="63"/>
      <c r="B198" s="63">
        <v>6171</v>
      </c>
      <c r="C198" s="63">
        <v>2324</v>
      </c>
      <c r="D198" s="63" t="s">
        <v>188</v>
      </c>
      <c r="E198" s="64">
        <v>5</v>
      </c>
      <c r="F198" s="65">
        <v>5</v>
      </c>
      <c r="G198" s="66">
        <v>9</v>
      </c>
      <c r="H198" s="64">
        <f t="shared" si="4"/>
        <v>180</v>
      </c>
    </row>
    <row r="199" spans="1:8" ht="15" hidden="1">
      <c r="A199" s="63"/>
      <c r="B199" s="63">
        <v>6171</v>
      </c>
      <c r="C199" s="63">
        <v>2329</v>
      </c>
      <c r="D199" s="63" t="s">
        <v>70</v>
      </c>
      <c r="E199" s="64"/>
      <c r="F199" s="65"/>
      <c r="G199" s="66"/>
      <c r="H199" s="64"/>
    </row>
    <row r="200" spans="1:8" ht="15" customHeight="1" thickBot="1">
      <c r="A200" s="119"/>
      <c r="B200" s="119"/>
      <c r="C200" s="119"/>
      <c r="D200" s="119"/>
      <c r="E200" s="120"/>
      <c r="F200" s="121"/>
      <c r="G200" s="122"/>
      <c r="H200" s="120"/>
    </row>
    <row r="201" spans="1:8" s="83" customFormat="1" ht="21.75" customHeight="1" thickBot="1" thickTop="1">
      <c r="A201" s="124"/>
      <c r="B201" s="124"/>
      <c r="C201" s="124"/>
      <c r="D201" s="125" t="s">
        <v>189</v>
      </c>
      <c r="E201" s="126">
        <f>SUM(E184:E200)</f>
        <v>12890</v>
      </c>
      <c r="F201" s="127">
        <f>SUM(F184:F200)</f>
        <v>13048.6</v>
      </c>
      <c r="G201" s="128">
        <f>SUM(G184:G200)</f>
        <v>17702.399999999998</v>
      </c>
      <c r="H201" s="80">
        <f>(G201/F201)*100</f>
        <v>135.66512882608092</v>
      </c>
    </row>
    <row r="202" spans="1:8" ht="14.25" customHeight="1">
      <c r="A202" s="103"/>
      <c r="B202" s="103"/>
      <c r="C202" s="103"/>
      <c r="D202" s="46"/>
      <c r="E202" s="104"/>
      <c r="F202" s="104"/>
      <c r="G202" s="104"/>
      <c r="H202" s="104"/>
    </row>
    <row r="203" spans="1:8" ht="14.25" customHeight="1" hidden="1">
      <c r="A203" s="103"/>
      <c r="B203" s="103"/>
      <c r="C203" s="103"/>
      <c r="D203" s="46"/>
      <c r="E203" s="104"/>
      <c r="F203" s="104"/>
      <c r="G203" s="104"/>
      <c r="H203" s="104"/>
    </row>
    <row r="204" spans="1:8" ht="14.25" customHeight="1" hidden="1">
      <c r="A204" s="103"/>
      <c r="B204" s="103"/>
      <c r="C204" s="103"/>
      <c r="D204" s="46"/>
      <c r="E204" s="104"/>
      <c r="F204" s="104"/>
      <c r="G204" s="104"/>
      <c r="H204" s="104"/>
    </row>
    <row r="205" spans="1:8" ht="14.25" customHeight="1" hidden="1">
      <c r="A205" s="103"/>
      <c r="B205" s="103"/>
      <c r="C205" s="103"/>
      <c r="D205" s="46"/>
      <c r="E205" s="104"/>
      <c r="F205" s="104"/>
      <c r="G205" s="104"/>
      <c r="H205" s="104"/>
    </row>
    <row r="206" spans="1:8" ht="15" customHeight="1">
      <c r="A206" s="103"/>
      <c r="B206" s="103"/>
      <c r="C206" s="103"/>
      <c r="D206" s="46"/>
      <c r="E206" s="104"/>
      <c r="F206" s="104"/>
      <c r="G206" s="104"/>
      <c r="H206" s="104"/>
    </row>
    <row r="207" spans="1:8" ht="15" customHeight="1" thickBot="1">
      <c r="A207" s="103"/>
      <c r="B207" s="103"/>
      <c r="C207" s="103"/>
      <c r="D207" s="46"/>
      <c r="E207" s="104"/>
      <c r="F207" s="104"/>
      <c r="G207" s="104"/>
      <c r="H207" s="104"/>
    </row>
    <row r="208" spans="1:8" ht="15.75">
      <c r="A208" s="51" t="s">
        <v>25</v>
      </c>
      <c r="B208" s="51" t="s">
        <v>26</v>
      </c>
      <c r="C208" s="51" t="s">
        <v>27</v>
      </c>
      <c r="D208" s="52" t="s">
        <v>28</v>
      </c>
      <c r="E208" s="53" t="s">
        <v>29</v>
      </c>
      <c r="F208" s="53" t="s">
        <v>29</v>
      </c>
      <c r="G208" s="53" t="s">
        <v>8</v>
      </c>
      <c r="H208" s="53" t="s">
        <v>30</v>
      </c>
    </row>
    <row r="209" spans="1:8" ht="15.75" customHeight="1" thickBot="1">
      <c r="A209" s="54"/>
      <c r="B209" s="54"/>
      <c r="C209" s="54"/>
      <c r="D209" s="55"/>
      <c r="E209" s="56" t="s">
        <v>31</v>
      </c>
      <c r="F209" s="56" t="s">
        <v>32</v>
      </c>
      <c r="G209" s="57" t="s">
        <v>33</v>
      </c>
      <c r="H209" s="56" t="s">
        <v>34</v>
      </c>
    </row>
    <row r="210" spans="1:8" ht="15.75" customHeight="1" thickTop="1">
      <c r="A210" s="58">
        <v>80</v>
      </c>
      <c r="B210" s="58"/>
      <c r="C210" s="58"/>
      <c r="D210" s="59" t="s">
        <v>190</v>
      </c>
      <c r="E210" s="60"/>
      <c r="F210" s="61"/>
      <c r="G210" s="62"/>
      <c r="H210" s="60"/>
    </row>
    <row r="211" spans="1:8" ht="15">
      <c r="A211" s="63"/>
      <c r="B211" s="63"/>
      <c r="C211" s="63"/>
      <c r="D211" s="63"/>
      <c r="E211" s="64"/>
      <c r="F211" s="65"/>
      <c r="G211" s="66"/>
      <c r="H211" s="64"/>
    </row>
    <row r="212" spans="1:8" ht="15">
      <c r="A212" s="63"/>
      <c r="B212" s="63"/>
      <c r="C212" s="63">
        <v>1353</v>
      </c>
      <c r="D212" s="63" t="s">
        <v>191</v>
      </c>
      <c r="E212" s="64">
        <v>750</v>
      </c>
      <c r="F212" s="65">
        <v>750</v>
      </c>
      <c r="G212" s="66">
        <v>699.8</v>
      </c>
      <c r="H212" s="64">
        <f aca="true" t="shared" si="5" ref="H212:H225">(G212/F212)*100</f>
        <v>93.30666666666666</v>
      </c>
    </row>
    <row r="213" spans="1:8" ht="15">
      <c r="A213" s="63"/>
      <c r="B213" s="63"/>
      <c r="C213" s="63">
        <v>1359</v>
      </c>
      <c r="D213" s="63" t="s">
        <v>192</v>
      </c>
      <c r="E213" s="64">
        <v>0</v>
      </c>
      <c r="F213" s="65">
        <v>0</v>
      </c>
      <c r="G213" s="66">
        <v>-114</v>
      </c>
      <c r="H213" s="64" t="e">
        <f t="shared" si="5"/>
        <v>#DIV/0!</v>
      </c>
    </row>
    <row r="214" spans="1:8" ht="15">
      <c r="A214" s="63"/>
      <c r="B214" s="63"/>
      <c r="C214" s="63">
        <v>1361</v>
      </c>
      <c r="D214" s="63" t="s">
        <v>37</v>
      </c>
      <c r="E214" s="64">
        <v>7000</v>
      </c>
      <c r="F214" s="65">
        <v>7000</v>
      </c>
      <c r="G214" s="66">
        <v>6349.9</v>
      </c>
      <c r="H214" s="64">
        <f t="shared" si="5"/>
        <v>90.71285714285715</v>
      </c>
    </row>
    <row r="215" spans="1:8" ht="15">
      <c r="A215" s="63"/>
      <c r="B215" s="63"/>
      <c r="C215" s="63">
        <v>4121</v>
      </c>
      <c r="D215" s="63" t="s">
        <v>193</v>
      </c>
      <c r="E215" s="69">
        <v>250</v>
      </c>
      <c r="F215" s="70">
        <v>250</v>
      </c>
      <c r="G215" s="71">
        <v>206</v>
      </c>
      <c r="H215" s="64">
        <f t="shared" si="5"/>
        <v>82.39999999999999</v>
      </c>
    </row>
    <row r="216" spans="1:8" ht="15">
      <c r="A216" s="63">
        <v>222</v>
      </c>
      <c r="B216" s="63"/>
      <c r="C216" s="63">
        <v>4122</v>
      </c>
      <c r="D216" s="63" t="s">
        <v>194</v>
      </c>
      <c r="E216" s="69">
        <v>0</v>
      </c>
      <c r="F216" s="70">
        <v>350</v>
      </c>
      <c r="G216" s="71">
        <v>350</v>
      </c>
      <c r="H216" s="64">
        <f t="shared" si="5"/>
        <v>100</v>
      </c>
    </row>
    <row r="217" spans="1:8" ht="15">
      <c r="A217" s="63"/>
      <c r="B217" s="63">
        <v>2219</v>
      </c>
      <c r="C217" s="63">
        <v>2324</v>
      </c>
      <c r="D217" s="63" t="s">
        <v>195</v>
      </c>
      <c r="E217" s="64">
        <v>0</v>
      </c>
      <c r="F217" s="65">
        <v>11</v>
      </c>
      <c r="G217" s="66">
        <v>11</v>
      </c>
      <c r="H217" s="64">
        <f t="shared" si="5"/>
        <v>100</v>
      </c>
    </row>
    <row r="218" spans="1:8" ht="15">
      <c r="A218" s="63"/>
      <c r="B218" s="63">
        <v>2219</v>
      </c>
      <c r="C218" s="63">
        <v>2329</v>
      </c>
      <c r="D218" s="63" t="s">
        <v>196</v>
      </c>
      <c r="E218" s="64">
        <v>4800</v>
      </c>
      <c r="F218" s="65">
        <v>4800</v>
      </c>
      <c r="G218" s="66">
        <v>4172</v>
      </c>
      <c r="H218" s="64">
        <f t="shared" si="5"/>
        <v>86.91666666666666</v>
      </c>
    </row>
    <row r="219" spans="1:8" ht="15">
      <c r="A219" s="63"/>
      <c r="B219" s="63">
        <v>2229</v>
      </c>
      <c r="C219" s="63">
        <v>2212</v>
      </c>
      <c r="D219" s="63" t="s">
        <v>197</v>
      </c>
      <c r="E219" s="69">
        <v>0</v>
      </c>
      <c r="F219" s="70">
        <v>0</v>
      </c>
      <c r="G219" s="71">
        <v>175</v>
      </c>
      <c r="H219" s="64" t="e">
        <f t="shared" si="5"/>
        <v>#DIV/0!</v>
      </c>
    </row>
    <row r="220" spans="1:8" ht="15">
      <c r="A220" s="63"/>
      <c r="B220" s="63">
        <v>2229</v>
      </c>
      <c r="C220" s="63">
        <v>2324</v>
      </c>
      <c r="D220" s="63" t="s">
        <v>198</v>
      </c>
      <c r="E220" s="69">
        <v>0</v>
      </c>
      <c r="F220" s="70">
        <v>0</v>
      </c>
      <c r="G220" s="71">
        <v>108</v>
      </c>
      <c r="H220" s="64" t="e">
        <f t="shared" si="5"/>
        <v>#DIV/0!</v>
      </c>
    </row>
    <row r="221" spans="1:8" ht="15">
      <c r="A221" s="63"/>
      <c r="B221" s="63">
        <v>2299</v>
      </c>
      <c r="C221" s="63">
        <v>2212</v>
      </c>
      <c r="D221" s="63" t="s">
        <v>199</v>
      </c>
      <c r="E221" s="64">
        <v>0</v>
      </c>
      <c r="F221" s="65">
        <v>2200</v>
      </c>
      <c r="G221" s="66">
        <v>3958.9</v>
      </c>
      <c r="H221" s="64">
        <f t="shared" si="5"/>
        <v>179.95000000000002</v>
      </c>
    </row>
    <row r="222" spans="1:8" ht="15">
      <c r="A222" s="63"/>
      <c r="B222" s="63">
        <v>2299</v>
      </c>
      <c r="C222" s="63">
        <v>2324</v>
      </c>
      <c r="D222" s="63" t="s">
        <v>200</v>
      </c>
      <c r="E222" s="69">
        <v>0</v>
      </c>
      <c r="F222" s="70">
        <v>0</v>
      </c>
      <c r="G222" s="71">
        <v>1</v>
      </c>
      <c r="H222" s="64" t="e">
        <f t="shared" si="5"/>
        <v>#DIV/0!</v>
      </c>
    </row>
    <row r="223" spans="1:8" ht="15">
      <c r="A223" s="63"/>
      <c r="B223" s="63">
        <v>6171</v>
      </c>
      <c r="C223" s="63">
        <v>2212</v>
      </c>
      <c r="D223" s="63" t="s">
        <v>201</v>
      </c>
      <c r="E223" s="64">
        <v>2200</v>
      </c>
      <c r="F223" s="65">
        <v>0</v>
      </c>
      <c r="G223" s="66">
        <v>0</v>
      </c>
      <c r="H223" s="64" t="e">
        <f t="shared" si="5"/>
        <v>#DIV/0!</v>
      </c>
    </row>
    <row r="224" spans="1:8" ht="15">
      <c r="A224" s="68"/>
      <c r="B224" s="68">
        <v>6171</v>
      </c>
      <c r="C224" s="68">
        <v>2324</v>
      </c>
      <c r="D224" s="68" t="s">
        <v>195</v>
      </c>
      <c r="E224" s="69">
        <v>200</v>
      </c>
      <c r="F224" s="70">
        <v>200</v>
      </c>
      <c r="G224" s="71">
        <v>436.6</v>
      </c>
      <c r="H224" s="64">
        <f t="shared" si="5"/>
        <v>218.30000000000004</v>
      </c>
    </row>
    <row r="225" spans="1:8" ht="15">
      <c r="A225" s="63"/>
      <c r="B225" s="63"/>
      <c r="C225" s="63"/>
      <c r="D225" s="63"/>
      <c r="E225" s="69"/>
      <c r="F225" s="70"/>
      <c r="G225" s="71">
        <v>0</v>
      </c>
      <c r="H225" s="64" t="e">
        <f t="shared" si="5"/>
        <v>#DIV/0!</v>
      </c>
    </row>
    <row r="226" spans="1:8" ht="15" hidden="1">
      <c r="A226" s="68"/>
      <c r="B226" s="68">
        <v>6171</v>
      </c>
      <c r="C226" s="68">
        <v>2329</v>
      </c>
      <c r="D226" s="68" t="s">
        <v>202</v>
      </c>
      <c r="E226" s="72"/>
      <c r="F226" s="73"/>
      <c r="G226" s="71"/>
      <c r="H226" s="64" t="e">
        <f>(#REF!/F226)*100</f>
        <v>#REF!</v>
      </c>
    </row>
    <row r="227" spans="1:8" ht="15.75" thickBot="1">
      <c r="A227" s="119"/>
      <c r="B227" s="119"/>
      <c r="C227" s="119"/>
      <c r="D227" s="119"/>
      <c r="E227" s="120"/>
      <c r="F227" s="121"/>
      <c r="G227" s="122"/>
      <c r="H227" s="120"/>
    </row>
    <row r="228" spans="1:8" s="83" customFormat="1" ht="21.75" customHeight="1" thickBot="1" thickTop="1">
      <c r="A228" s="124"/>
      <c r="B228" s="124"/>
      <c r="C228" s="124"/>
      <c r="D228" s="125" t="s">
        <v>203</v>
      </c>
      <c r="E228" s="126">
        <f>SUM(E211:E227)</f>
        <v>15200</v>
      </c>
      <c r="F228" s="127">
        <f>SUM(F211:F227)</f>
        <v>15561</v>
      </c>
      <c r="G228" s="128">
        <f>SUM(G211:G227)</f>
        <v>16354.2</v>
      </c>
      <c r="H228" s="80">
        <f>(G228/F228)*100</f>
        <v>105.09735878156931</v>
      </c>
    </row>
    <row r="229" spans="1:8" ht="15" customHeight="1">
      <c r="A229" s="103"/>
      <c r="B229" s="103"/>
      <c r="C229" s="103"/>
      <c r="D229" s="46"/>
      <c r="E229" s="104"/>
      <c r="F229" s="104"/>
      <c r="G229" s="104"/>
      <c r="H229" s="104"/>
    </row>
    <row r="230" spans="1:8" ht="15" customHeight="1" hidden="1">
      <c r="A230" s="103"/>
      <c r="B230" s="103"/>
      <c r="C230" s="103"/>
      <c r="D230" s="46"/>
      <c r="E230" s="104"/>
      <c r="F230" s="104"/>
      <c r="G230" s="104"/>
      <c r="H230" s="104"/>
    </row>
    <row r="231" spans="1:8" ht="15" customHeight="1">
      <c r="A231" s="103"/>
      <c r="B231" s="103"/>
      <c r="C231" s="103"/>
      <c r="D231" s="46"/>
      <c r="E231" s="104"/>
      <c r="F231" s="104"/>
      <c r="G231" s="104"/>
      <c r="H231" s="104"/>
    </row>
    <row r="232" spans="1:8" ht="15" customHeight="1" thickBot="1">
      <c r="A232" s="103"/>
      <c r="B232" s="103"/>
      <c r="C232" s="103"/>
      <c r="D232" s="46"/>
      <c r="E232" s="104"/>
      <c r="F232" s="104"/>
      <c r="G232" s="104"/>
      <c r="H232" s="104"/>
    </row>
    <row r="233" spans="1:8" ht="15.75">
      <c r="A233" s="51" t="s">
        <v>25</v>
      </c>
      <c r="B233" s="51" t="s">
        <v>26</v>
      </c>
      <c r="C233" s="51" t="s">
        <v>27</v>
      </c>
      <c r="D233" s="52" t="s">
        <v>28</v>
      </c>
      <c r="E233" s="53" t="s">
        <v>29</v>
      </c>
      <c r="F233" s="53" t="s">
        <v>29</v>
      </c>
      <c r="G233" s="53" t="s">
        <v>8</v>
      </c>
      <c r="H233" s="53" t="s">
        <v>30</v>
      </c>
    </row>
    <row r="234" spans="1:8" ht="15.75" customHeight="1" thickBot="1">
      <c r="A234" s="54"/>
      <c r="B234" s="54"/>
      <c r="C234" s="54"/>
      <c r="D234" s="55"/>
      <c r="E234" s="56" t="s">
        <v>31</v>
      </c>
      <c r="F234" s="56" t="s">
        <v>32</v>
      </c>
      <c r="G234" s="57" t="s">
        <v>33</v>
      </c>
      <c r="H234" s="56" t="s">
        <v>34</v>
      </c>
    </row>
    <row r="235" spans="1:8" ht="16.5" customHeight="1" thickTop="1">
      <c r="A235" s="58">
        <v>90</v>
      </c>
      <c r="B235" s="58"/>
      <c r="C235" s="58"/>
      <c r="D235" s="59" t="s">
        <v>204</v>
      </c>
      <c r="E235" s="60"/>
      <c r="F235" s="61"/>
      <c r="G235" s="62"/>
      <c r="H235" s="60"/>
    </row>
    <row r="236" spans="1:8" ht="15.75">
      <c r="A236" s="58"/>
      <c r="B236" s="58"/>
      <c r="C236" s="58"/>
      <c r="D236" s="59"/>
      <c r="E236" s="60"/>
      <c r="F236" s="61"/>
      <c r="G236" s="62"/>
      <c r="H236" s="60"/>
    </row>
    <row r="237" spans="1:8" ht="15">
      <c r="A237" s="74"/>
      <c r="B237" s="74"/>
      <c r="C237" s="74">
        <v>4121</v>
      </c>
      <c r="D237" s="74" t="s">
        <v>205</v>
      </c>
      <c r="E237" s="130">
        <v>300</v>
      </c>
      <c r="F237" s="131">
        <v>300</v>
      </c>
      <c r="G237" s="132">
        <v>350</v>
      </c>
      <c r="H237" s="64">
        <f aca="true" t="shared" si="6" ref="H237:H244">(G237/F237)*100</f>
        <v>116.66666666666667</v>
      </c>
    </row>
    <row r="238" spans="1:8" ht="15">
      <c r="A238" s="63"/>
      <c r="B238" s="63">
        <v>5311</v>
      </c>
      <c r="C238" s="63">
        <v>2111</v>
      </c>
      <c r="D238" s="63" t="s">
        <v>65</v>
      </c>
      <c r="E238" s="133">
        <v>650</v>
      </c>
      <c r="F238" s="134">
        <v>650</v>
      </c>
      <c r="G238" s="135">
        <v>512.4</v>
      </c>
      <c r="H238" s="64">
        <f t="shared" si="6"/>
        <v>78.83076923076922</v>
      </c>
    </row>
    <row r="239" spans="1:8" ht="15">
      <c r="A239" s="63"/>
      <c r="B239" s="63">
        <v>5311</v>
      </c>
      <c r="C239" s="63">
        <v>2212</v>
      </c>
      <c r="D239" s="63" t="s">
        <v>206</v>
      </c>
      <c r="E239" s="136">
        <v>1850</v>
      </c>
      <c r="F239" s="137">
        <v>1850</v>
      </c>
      <c r="G239" s="138">
        <v>737.4</v>
      </c>
      <c r="H239" s="64">
        <f t="shared" si="6"/>
        <v>39.85945945945946</v>
      </c>
    </row>
    <row r="240" spans="1:8" ht="15" hidden="1">
      <c r="A240" s="68"/>
      <c r="B240" s="68">
        <v>5311</v>
      </c>
      <c r="C240" s="68">
        <v>2310</v>
      </c>
      <c r="D240" s="68" t="s">
        <v>207</v>
      </c>
      <c r="E240" s="69"/>
      <c r="F240" s="70"/>
      <c r="G240" s="71"/>
      <c r="H240" s="64" t="e">
        <f t="shared" si="6"/>
        <v>#DIV/0!</v>
      </c>
    </row>
    <row r="241" spans="1:8" ht="15">
      <c r="A241" s="68"/>
      <c r="B241" s="68">
        <v>5311</v>
      </c>
      <c r="C241" s="68">
        <v>2322</v>
      </c>
      <c r="D241" s="68" t="s">
        <v>208</v>
      </c>
      <c r="E241" s="69">
        <v>0</v>
      </c>
      <c r="F241" s="70">
        <v>0</v>
      </c>
      <c r="G241" s="71">
        <v>0.7</v>
      </c>
      <c r="H241" s="64" t="e">
        <f t="shared" si="6"/>
        <v>#DIV/0!</v>
      </c>
    </row>
    <row r="242" spans="1:8" ht="15">
      <c r="A242" s="63"/>
      <c r="B242" s="63">
        <v>5311</v>
      </c>
      <c r="C242" s="63">
        <v>2324</v>
      </c>
      <c r="D242" s="63" t="s">
        <v>209</v>
      </c>
      <c r="E242" s="64">
        <v>0</v>
      </c>
      <c r="F242" s="65">
        <v>110</v>
      </c>
      <c r="G242" s="66">
        <v>126.6</v>
      </c>
      <c r="H242" s="64">
        <f t="shared" si="6"/>
        <v>115.0909090909091</v>
      </c>
    </row>
    <row r="243" spans="1:8" ht="15">
      <c r="A243" s="68"/>
      <c r="B243" s="68">
        <v>5311</v>
      </c>
      <c r="C243" s="68">
        <v>2329</v>
      </c>
      <c r="D243" s="68" t="s">
        <v>70</v>
      </c>
      <c r="E243" s="69">
        <v>0</v>
      </c>
      <c r="F243" s="70">
        <v>0</v>
      </c>
      <c r="G243" s="71">
        <v>0.5</v>
      </c>
      <c r="H243" s="64" t="e">
        <f t="shared" si="6"/>
        <v>#DIV/0!</v>
      </c>
    </row>
    <row r="244" spans="1:8" ht="15">
      <c r="A244" s="68"/>
      <c r="B244" s="68">
        <v>5311</v>
      </c>
      <c r="C244" s="68">
        <v>3113</v>
      </c>
      <c r="D244" s="68" t="s">
        <v>207</v>
      </c>
      <c r="E244" s="69">
        <v>0</v>
      </c>
      <c r="F244" s="70">
        <v>0</v>
      </c>
      <c r="G244" s="71">
        <v>20</v>
      </c>
      <c r="H244" s="64" t="e">
        <f t="shared" si="6"/>
        <v>#DIV/0!</v>
      </c>
    </row>
    <row r="245" spans="1:8" ht="15" hidden="1">
      <c r="A245" s="68"/>
      <c r="B245" s="68">
        <v>6409</v>
      </c>
      <c r="C245" s="68">
        <v>2328</v>
      </c>
      <c r="D245" s="68" t="s">
        <v>210</v>
      </c>
      <c r="E245" s="69">
        <v>0</v>
      </c>
      <c r="F245" s="70">
        <v>0</v>
      </c>
      <c r="G245" s="71"/>
      <c r="H245" s="64" t="e">
        <f>(#REF!/F245)*100</f>
        <v>#REF!</v>
      </c>
    </row>
    <row r="246" spans="1:8" ht="15.75" thickBot="1">
      <c r="A246" s="119"/>
      <c r="B246" s="119"/>
      <c r="C246" s="119"/>
      <c r="D246" s="119"/>
      <c r="E246" s="120"/>
      <c r="F246" s="121"/>
      <c r="G246" s="122"/>
      <c r="H246" s="120"/>
    </row>
    <row r="247" spans="1:8" s="83" customFormat="1" ht="21.75" customHeight="1" thickBot="1" thickTop="1">
      <c r="A247" s="124"/>
      <c r="B247" s="124"/>
      <c r="C247" s="124"/>
      <c r="D247" s="125" t="s">
        <v>211</v>
      </c>
      <c r="E247" s="126">
        <f>SUM(E237:E246)</f>
        <v>2800</v>
      </c>
      <c r="F247" s="127">
        <f>SUM(F237:F246)</f>
        <v>2910</v>
      </c>
      <c r="G247" s="128">
        <f>SUM(G237:G246)</f>
        <v>1747.6</v>
      </c>
      <c r="H247" s="80">
        <f>(G247/F247)*100</f>
        <v>60.054982817869416</v>
      </c>
    </row>
    <row r="248" spans="1:8" ht="15" customHeight="1">
      <c r="A248" s="103"/>
      <c r="B248" s="103"/>
      <c r="C248" s="103"/>
      <c r="D248" s="46"/>
      <c r="E248" s="104"/>
      <c r="F248" s="104"/>
      <c r="G248" s="104"/>
      <c r="H248" s="104"/>
    </row>
    <row r="249" spans="1:8" ht="15" customHeight="1" hidden="1">
      <c r="A249" s="103"/>
      <c r="B249" s="103"/>
      <c r="C249" s="103"/>
      <c r="D249" s="46"/>
      <c r="E249" s="104"/>
      <c r="F249" s="104"/>
      <c r="G249" s="104"/>
      <c r="H249" s="104"/>
    </row>
    <row r="250" spans="1:8" ht="15" customHeight="1" hidden="1">
      <c r="A250" s="103"/>
      <c r="B250" s="103"/>
      <c r="C250" s="103"/>
      <c r="D250" s="46"/>
      <c r="E250" s="104"/>
      <c r="F250" s="104"/>
      <c r="G250" s="104"/>
      <c r="H250" s="104"/>
    </row>
    <row r="251" spans="1:8" ht="15" customHeight="1" hidden="1">
      <c r="A251" s="103"/>
      <c r="B251" s="103"/>
      <c r="C251" s="103"/>
      <c r="D251" s="46"/>
      <c r="E251" s="104"/>
      <c r="F251" s="104"/>
      <c r="G251" s="104"/>
      <c r="H251" s="104"/>
    </row>
    <row r="252" spans="1:8" ht="15" customHeight="1" hidden="1">
      <c r="A252" s="103"/>
      <c r="B252" s="103"/>
      <c r="C252" s="103"/>
      <c r="D252" s="46"/>
      <c r="E252" s="104"/>
      <c r="F252" s="104"/>
      <c r="G252" s="104"/>
      <c r="H252" s="104"/>
    </row>
    <row r="253" spans="1:8" ht="15" customHeight="1" hidden="1">
      <c r="A253" s="103"/>
      <c r="B253" s="103"/>
      <c r="C253" s="103"/>
      <c r="D253" s="46"/>
      <c r="E253" s="104"/>
      <c r="F253" s="104"/>
      <c r="G253" s="104"/>
      <c r="H253" s="104"/>
    </row>
    <row r="254" spans="1:8" ht="15" customHeight="1" hidden="1">
      <c r="A254" s="103"/>
      <c r="B254" s="103"/>
      <c r="C254" s="103"/>
      <c r="D254" s="46"/>
      <c r="E254" s="104"/>
      <c r="F254" s="104"/>
      <c r="G254" s="104"/>
      <c r="H254" s="104"/>
    </row>
    <row r="255" spans="1:8" ht="15" customHeight="1">
      <c r="A255" s="103"/>
      <c r="B255" s="103"/>
      <c r="C255" s="103"/>
      <c r="D255" s="46"/>
      <c r="E255" s="104"/>
      <c r="F255" s="104"/>
      <c r="G255" s="42"/>
      <c r="H255" s="42"/>
    </row>
    <row r="256" spans="1:8" ht="15" customHeight="1" thickBot="1">
      <c r="A256" s="103"/>
      <c r="B256" s="103"/>
      <c r="C256" s="103"/>
      <c r="D256" s="46"/>
      <c r="E256" s="104"/>
      <c r="F256" s="104"/>
      <c r="G256" s="104"/>
      <c r="H256" s="104"/>
    </row>
    <row r="257" spans="1:8" ht="15.75">
      <c r="A257" s="51" t="s">
        <v>25</v>
      </c>
      <c r="B257" s="51" t="s">
        <v>26</v>
      </c>
      <c r="C257" s="51" t="s">
        <v>27</v>
      </c>
      <c r="D257" s="52" t="s">
        <v>28</v>
      </c>
      <c r="E257" s="53" t="s">
        <v>29</v>
      </c>
      <c r="F257" s="53" t="s">
        <v>29</v>
      </c>
      <c r="G257" s="53" t="s">
        <v>8</v>
      </c>
      <c r="H257" s="53" t="s">
        <v>30</v>
      </c>
    </row>
    <row r="258" spans="1:8" ht="15.75" customHeight="1" thickBot="1">
      <c r="A258" s="54"/>
      <c r="B258" s="54"/>
      <c r="C258" s="54"/>
      <c r="D258" s="55"/>
      <c r="E258" s="56" t="s">
        <v>31</v>
      </c>
      <c r="F258" s="56" t="s">
        <v>32</v>
      </c>
      <c r="G258" s="57" t="s">
        <v>33</v>
      </c>
      <c r="H258" s="56" t="s">
        <v>34</v>
      </c>
    </row>
    <row r="259" spans="1:8" ht="15.75" customHeight="1" thickTop="1">
      <c r="A259" s="58">
        <v>100</v>
      </c>
      <c r="B259" s="58"/>
      <c r="C259" s="58"/>
      <c r="D259" s="139" t="s">
        <v>212</v>
      </c>
      <c r="E259" s="60"/>
      <c r="F259" s="61"/>
      <c r="G259" s="62"/>
      <c r="H259" s="60"/>
    </row>
    <row r="260" spans="1:8" ht="15">
      <c r="A260" s="63"/>
      <c r="B260" s="63"/>
      <c r="C260" s="63"/>
      <c r="D260" s="63"/>
      <c r="E260" s="99"/>
      <c r="F260" s="65"/>
      <c r="G260" s="66"/>
      <c r="H260" s="99"/>
    </row>
    <row r="261" spans="1:8" ht="15">
      <c r="A261" s="63"/>
      <c r="B261" s="63"/>
      <c r="C261" s="63">
        <v>1361</v>
      </c>
      <c r="D261" s="63" t="s">
        <v>37</v>
      </c>
      <c r="E261" s="99">
        <v>1700</v>
      </c>
      <c r="F261" s="65">
        <v>1700</v>
      </c>
      <c r="G261" s="66">
        <v>2032.9</v>
      </c>
      <c r="H261" s="64">
        <f>(G261/F261)*100</f>
        <v>119.58235294117647</v>
      </c>
    </row>
    <row r="262" spans="1:8" ht="15.75" hidden="1">
      <c r="A262" s="109"/>
      <c r="B262" s="109"/>
      <c r="C262" s="63">
        <v>4216</v>
      </c>
      <c r="D262" s="63" t="s">
        <v>213</v>
      </c>
      <c r="E262" s="64"/>
      <c r="F262" s="65"/>
      <c r="G262" s="66"/>
      <c r="H262" s="64" t="e">
        <f>(G262/F262)*100</f>
        <v>#DIV/0!</v>
      </c>
    </row>
    <row r="263" spans="1:8" ht="15">
      <c r="A263" s="63"/>
      <c r="B263" s="63">
        <v>2169</v>
      </c>
      <c r="C263" s="63">
        <v>2212</v>
      </c>
      <c r="D263" s="63" t="s">
        <v>206</v>
      </c>
      <c r="E263" s="99">
        <v>500</v>
      </c>
      <c r="F263" s="65">
        <v>500</v>
      </c>
      <c r="G263" s="66">
        <v>376.5</v>
      </c>
      <c r="H263" s="64">
        <f>(G263/F263)*100</f>
        <v>75.3</v>
      </c>
    </row>
    <row r="264" spans="1:8" ht="15" hidden="1">
      <c r="A264" s="68"/>
      <c r="B264" s="68">
        <v>3635</v>
      </c>
      <c r="C264" s="68">
        <v>3122</v>
      </c>
      <c r="D264" s="63" t="s">
        <v>214</v>
      </c>
      <c r="E264" s="99">
        <v>0</v>
      </c>
      <c r="F264" s="65">
        <v>0</v>
      </c>
      <c r="G264" s="66"/>
      <c r="H264" s="64" t="e">
        <f>(G264/F264)*100</f>
        <v>#DIV/0!</v>
      </c>
    </row>
    <row r="265" spans="1:8" ht="15">
      <c r="A265" s="68"/>
      <c r="B265" s="68">
        <v>6171</v>
      </c>
      <c r="C265" s="68">
        <v>2324</v>
      </c>
      <c r="D265" s="63" t="s">
        <v>215</v>
      </c>
      <c r="E265" s="140">
        <v>40</v>
      </c>
      <c r="F265" s="76">
        <v>40</v>
      </c>
      <c r="G265" s="77">
        <v>64.9</v>
      </c>
      <c r="H265" s="64">
        <f>(G265/F265)*100</f>
        <v>162.25</v>
      </c>
    </row>
    <row r="266" spans="1:8" ht="15" customHeight="1" thickBot="1">
      <c r="A266" s="119"/>
      <c r="B266" s="119"/>
      <c r="C266" s="119"/>
      <c r="D266" s="119"/>
      <c r="E266" s="120"/>
      <c r="F266" s="121"/>
      <c r="G266" s="122"/>
      <c r="H266" s="120"/>
    </row>
    <row r="267" spans="1:8" s="83" customFormat="1" ht="21.75" customHeight="1" thickBot="1" thickTop="1">
      <c r="A267" s="124"/>
      <c r="B267" s="124"/>
      <c r="C267" s="124"/>
      <c r="D267" s="125" t="s">
        <v>216</v>
      </c>
      <c r="E267" s="126">
        <f>SUM(E259:E265)</f>
        <v>2240</v>
      </c>
      <c r="F267" s="127">
        <f>SUM(F259:F265)</f>
        <v>2240</v>
      </c>
      <c r="G267" s="128">
        <f>SUM(G259:G265)</f>
        <v>2474.3</v>
      </c>
      <c r="H267" s="80">
        <f>(G267/F267)*100</f>
        <v>110.45982142857144</v>
      </c>
    </row>
    <row r="268" spans="1:8" ht="15" customHeight="1" hidden="1">
      <c r="A268" s="103"/>
      <c r="B268" s="103"/>
      <c r="C268" s="103"/>
      <c r="D268" s="46"/>
      <c r="E268" s="104"/>
      <c r="F268" s="104"/>
      <c r="G268" s="104"/>
      <c r="H268" s="104"/>
    </row>
    <row r="269" spans="1:8" ht="15" customHeight="1" thickBot="1">
      <c r="A269" s="103"/>
      <c r="B269" s="103"/>
      <c r="C269" s="103"/>
      <c r="D269" s="46"/>
      <c r="E269" s="104"/>
      <c r="F269" s="104"/>
      <c r="G269" s="104"/>
      <c r="H269" s="104"/>
    </row>
    <row r="270" spans="1:8" ht="15.75">
      <c r="A270" s="51" t="s">
        <v>25</v>
      </c>
      <c r="B270" s="51" t="s">
        <v>26</v>
      </c>
      <c r="C270" s="51" t="s">
        <v>27</v>
      </c>
      <c r="D270" s="52" t="s">
        <v>28</v>
      </c>
      <c r="E270" s="53" t="s">
        <v>29</v>
      </c>
      <c r="F270" s="53" t="s">
        <v>29</v>
      </c>
      <c r="G270" s="53" t="s">
        <v>8</v>
      </c>
      <c r="H270" s="53" t="s">
        <v>30</v>
      </c>
    </row>
    <row r="271" spans="1:8" ht="15.75" customHeight="1" thickBot="1">
      <c r="A271" s="54"/>
      <c r="B271" s="54"/>
      <c r="C271" s="54"/>
      <c r="D271" s="55"/>
      <c r="E271" s="56" t="s">
        <v>31</v>
      </c>
      <c r="F271" s="56" t="s">
        <v>32</v>
      </c>
      <c r="G271" s="57" t="s">
        <v>33</v>
      </c>
      <c r="H271" s="56" t="s">
        <v>34</v>
      </c>
    </row>
    <row r="272" spans="1:8" ht="15.75" customHeight="1" thickTop="1">
      <c r="A272" s="141">
        <v>110</v>
      </c>
      <c r="B272" s="109"/>
      <c r="C272" s="109"/>
      <c r="D272" s="109" t="s">
        <v>217</v>
      </c>
      <c r="E272" s="60"/>
      <c r="F272" s="61"/>
      <c r="G272" s="62"/>
      <c r="H272" s="60"/>
    </row>
    <row r="273" spans="1:8" ht="15.75">
      <c r="A273" s="141"/>
      <c r="B273" s="109"/>
      <c r="C273" s="109"/>
      <c r="D273" s="109"/>
      <c r="E273" s="60"/>
      <c r="F273" s="61"/>
      <c r="G273" s="62"/>
      <c r="H273" s="60"/>
    </row>
    <row r="274" spans="1:8" ht="15">
      <c r="A274" s="63"/>
      <c r="B274" s="63"/>
      <c r="C274" s="63">
        <v>1111</v>
      </c>
      <c r="D274" s="63" t="s">
        <v>218</v>
      </c>
      <c r="E274" s="117">
        <v>48000</v>
      </c>
      <c r="F274" s="115">
        <v>48000</v>
      </c>
      <c r="G274" s="116">
        <v>44681.3</v>
      </c>
      <c r="H274" s="64">
        <f aca="true" t="shared" si="7" ref="H274:H298">(G274/F274)*100</f>
        <v>93.08604166666667</v>
      </c>
    </row>
    <row r="275" spans="1:8" ht="15">
      <c r="A275" s="63"/>
      <c r="B275" s="63"/>
      <c r="C275" s="63">
        <v>1112</v>
      </c>
      <c r="D275" s="63" t="s">
        <v>219</v>
      </c>
      <c r="E275" s="110">
        <v>6000</v>
      </c>
      <c r="F275" s="111">
        <v>6000</v>
      </c>
      <c r="G275" s="112">
        <v>3545.4</v>
      </c>
      <c r="H275" s="64">
        <f t="shared" si="7"/>
        <v>59.089999999999996</v>
      </c>
    </row>
    <row r="276" spans="1:8" ht="15">
      <c r="A276" s="63"/>
      <c r="B276" s="63"/>
      <c r="C276" s="63">
        <v>1113</v>
      </c>
      <c r="D276" s="63" t="s">
        <v>220</v>
      </c>
      <c r="E276" s="110">
        <v>4700</v>
      </c>
      <c r="F276" s="111">
        <v>4700</v>
      </c>
      <c r="G276" s="112">
        <v>4527.9</v>
      </c>
      <c r="H276" s="64">
        <f t="shared" si="7"/>
        <v>96.33829787234042</v>
      </c>
    </row>
    <row r="277" spans="1:8" ht="15">
      <c r="A277" s="63"/>
      <c r="B277" s="63"/>
      <c r="C277" s="63">
        <v>1121</v>
      </c>
      <c r="D277" s="63" t="s">
        <v>221</v>
      </c>
      <c r="E277" s="110">
        <v>45000</v>
      </c>
      <c r="F277" s="111">
        <v>45000</v>
      </c>
      <c r="G277" s="116">
        <v>46473.9</v>
      </c>
      <c r="H277" s="64">
        <f t="shared" si="7"/>
        <v>103.27533333333334</v>
      </c>
    </row>
    <row r="278" spans="1:8" ht="15">
      <c r="A278" s="63"/>
      <c r="B278" s="63"/>
      <c r="C278" s="63">
        <v>1122</v>
      </c>
      <c r="D278" s="63" t="s">
        <v>222</v>
      </c>
      <c r="E278" s="117">
        <v>10000</v>
      </c>
      <c r="F278" s="115">
        <v>9425.2</v>
      </c>
      <c r="G278" s="116">
        <v>9425.1</v>
      </c>
      <c r="H278" s="64">
        <f t="shared" si="7"/>
        <v>99.99893901455673</v>
      </c>
    </row>
    <row r="279" spans="1:8" ht="15">
      <c r="A279" s="63"/>
      <c r="B279" s="63"/>
      <c r="C279" s="63">
        <v>1211</v>
      </c>
      <c r="D279" s="63" t="s">
        <v>223</v>
      </c>
      <c r="E279" s="117">
        <v>102000</v>
      </c>
      <c r="F279" s="115">
        <v>102000</v>
      </c>
      <c r="G279" s="116">
        <v>88781.5</v>
      </c>
      <c r="H279" s="64">
        <f t="shared" si="7"/>
        <v>87.04068627450981</v>
      </c>
    </row>
    <row r="280" spans="1:8" ht="15">
      <c r="A280" s="63"/>
      <c r="B280" s="63"/>
      <c r="C280" s="63">
        <v>1340</v>
      </c>
      <c r="D280" s="63" t="s">
        <v>224</v>
      </c>
      <c r="E280" s="117">
        <v>10300</v>
      </c>
      <c r="F280" s="115">
        <v>10300</v>
      </c>
      <c r="G280" s="142">
        <v>10454.6</v>
      </c>
      <c r="H280" s="64">
        <f t="shared" si="7"/>
        <v>101.5009708737864</v>
      </c>
    </row>
    <row r="281" spans="1:8" ht="15">
      <c r="A281" s="63"/>
      <c r="B281" s="63"/>
      <c r="C281" s="63">
        <v>1341</v>
      </c>
      <c r="D281" s="63" t="s">
        <v>225</v>
      </c>
      <c r="E281" s="143">
        <v>950</v>
      </c>
      <c r="F281" s="144">
        <v>950</v>
      </c>
      <c r="G281" s="142">
        <v>849.3</v>
      </c>
      <c r="H281" s="64">
        <f t="shared" si="7"/>
        <v>89.39999999999999</v>
      </c>
    </row>
    <row r="282" spans="1:8" ht="15" customHeight="1">
      <c r="A282" s="108"/>
      <c r="B282" s="109"/>
      <c r="C282" s="87">
        <v>1342</v>
      </c>
      <c r="D282" s="87" t="s">
        <v>226</v>
      </c>
      <c r="E282" s="113">
        <v>50</v>
      </c>
      <c r="F282" s="61">
        <v>50</v>
      </c>
      <c r="G282" s="62">
        <v>109.8</v>
      </c>
      <c r="H282" s="64">
        <f t="shared" si="7"/>
        <v>219.59999999999997</v>
      </c>
    </row>
    <row r="283" spans="1:8" ht="15">
      <c r="A283" s="145"/>
      <c r="B283" s="87"/>
      <c r="C283" s="87">
        <v>1343</v>
      </c>
      <c r="D283" s="87" t="s">
        <v>227</v>
      </c>
      <c r="E283" s="113">
        <v>1100</v>
      </c>
      <c r="F283" s="61">
        <v>1100</v>
      </c>
      <c r="G283" s="62">
        <v>1093.2</v>
      </c>
      <c r="H283" s="64">
        <f t="shared" si="7"/>
        <v>99.38181818181818</v>
      </c>
    </row>
    <row r="284" spans="1:8" ht="15">
      <c r="A284" s="98"/>
      <c r="B284" s="63"/>
      <c r="C284" s="63">
        <v>1345</v>
      </c>
      <c r="D284" s="63" t="s">
        <v>228</v>
      </c>
      <c r="E284" s="146">
        <v>200</v>
      </c>
      <c r="F284" s="111">
        <v>200</v>
      </c>
      <c r="G284" s="112">
        <v>195.4</v>
      </c>
      <c r="H284" s="64">
        <f t="shared" si="7"/>
        <v>97.7</v>
      </c>
    </row>
    <row r="285" spans="1:8" ht="15">
      <c r="A285" s="63"/>
      <c r="B285" s="63"/>
      <c r="C285" s="63">
        <v>1347</v>
      </c>
      <c r="D285" s="63" t="s">
        <v>229</v>
      </c>
      <c r="E285" s="143">
        <v>0</v>
      </c>
      <c r="F285" s="144">
        <v>0</v>
      </c>
      <c r="G285" s="142">
        <v>697.8</v>
      </c>
      <c r="H285" s="64" t="e">
        <f t="shared" si="7"/>
        <v>#DIV/0!</v>
      </c>
    </row>
    <row r="286" spans="1:8" ht="15" hidden="1">
      <c r="A286" s="63"/>
      <c r="B286" s="63"/>
      <c r="C286" s="63">
        <v>1349</v>
      </c>
      <c r="D286" s="63" t="s">
        <v>230</v>
      </c>
      <c r="E286" s="117"/>
      <c r="F286" s="115"/>
      <c r="G286" s="116"/>
      <c r="H286" s="64" t="e">
        <f t="shared" si="7"/>
        <v>#DIV/0!</v>
      </c>
    </row>
    <row r="287" spans="1:8" ht="15">
      <c r="A287" s="63"/>
      <c r="B287" s="63"/>
      <c r="C287" s="63">
        <v>1351.5</v>
      </c>
      <c r="D287" s="63" t="s">
        <v>231</v>
      </c>
      <c r="E287" s="117">
        <v>18500</v>
      </c>
      <c r="F287" s="115">
        <v>18500</v>
      </c>
      <c r="G287" s="116">
        <f>876.7+16565.7</f>
        <v>17442.4</v>
      </c>
      <c r="H287" s="64">
        <f t="shared" si="7"/>
        <v>94.28324324324325</v>
      </c>
    </row>
    <row r="288" spans="1:8" ht="15">
      <c r="A288" s="63"/>
      <c r="B288" s="63"/>
      <c r="C288" s="63">
        <v>1361</v>
      </c>
      <c r="D288" s="63" t="s">
        <v>232</v>
      </c>
      <c r="E288" s="143">
        <v>0</v>
      </c>
      <c r="F288" s="144">
        <v>0</v>
      </c>
      <c r="G288" s="142">
        <v>0.1</v>
      </c>
      <c r="H288" s="64" t="e">
        <f t="shared" si="7"/>
        <v>#DIV/0!</v>
      </c>
    </row>
    <row r="289" spans="1:8" ht="15">
      <c r="A289" s="63"/>
      <c r="B289" s="63"/>
      <c r="C289" s="63">
        <v>1511</v>
      </c>
      <c r="D289" s="63" t="s">
        <v>233</v>
      </c>
      <c r="E289" s="64">
        <v>21500</v>
      </c>
      <c r="F289" s="65">
        <v>21500</v>
      </c>
      <c r="G289" s="66">
        <v>14883.6</v>
      </c>
      <c r="H289" s="64">
        <f t="shared" si="7"/>
        <v>69.2260465116279</v>
      </c>
    </row>
    <row r="290" spans="1:8" ht="15" customHeight="1" hidden="1">
      <c r="A290" s="63"/>
      <c r="B290" s="63"/>
      <c r="C290" s="63">
        <v>2460</v>
      </c>
      <c r="D290" s="63" t="s">
        <v>234</v>
      </c>
      <c r="E290" s="64"/>
      <c r="F290" s="65"/>
      <c r="G290" s="66"/>
      <c r="H290" s="64" t="e">
        <f t="shared" si="7"/>
        <v>#DIV/0!</v>
      </c>
    </row>
    <row r="291" spans="1:8" ht="15">
      <c r="A291" s="63"/>
      <c r="B291" s="63"/>
      <c r="C291" s="63">
        <v>4112</v>
      </c>
      <c r="D291" s="63" t="s">
        <v>235</v>
      </c>
      <c r="E291" s="64">
        <v>34000</v>
      </c>
      <c r="F291" s="65">
        <v>34754</v>
      </c>
      <c r="G291" s="66">
        <v>28962</v>
      </c>
      <c r="H291" s="64">
        <f t="shared" si="7"/>
        <v>83.33429245554468</v>
      </c>
    </row>
    <row r="292" spans="1:8" ht="15" hidden="1">
      <c r="A292" s="63"/>
      <c r="B292" s="63">
        <v>6171</v>
      </c>
      <c r="C292" s="63">
        <v>2212</v>
      </c>
      <c r="D292" s="63" t="s">
        <v>236</v>
      </c>
      <c r="E292" s="64"/>
      <c r="F292" s="65"/>
      <c r="G292" s="66"/>
      <c r="H292" s="64" t="e">
        <f t="shared" si="7"/>
        <v>#DIV/0!</v>
      </c>
    </row>
    <row r="293" spans="1:8" ht="15">
      <c r="A293" s="63"/>
      <c r="B293" s="63"/>
      <c r="C293" s="63">
        <v>4132</v>
      </c>
      <c r="D293" s="63" t="s">
        <v>237</v>
      </c>
      <c r="E293" s="64">
        <v>0</v>
      </c>
      <c r="F293" s="65">
        <v>0</v>
      </c>
      <c r="G293" s="66">
        <v>125.5</v>
      </c>
      <c r="H293" s="64" t="e">
        <f t="shared" si="7"/>
        <v>#DIV/0!</v>
      </c>
    </row>
    <row r="294" spans="1:8" ht="15" hidden="1">
      <c r="A294" s="63"/>
      <c r="B294" s="63">
        <v>6171</v>
      </c>
      <c r="C294" s="63">
        <v>2328</v>
      </c>
      <c r="D294" s="63" t="s">
        <v>238</v>
      </c>
      <c r="E294" s="64"/>
      <c r="F294" s="65"/>
      <c r="G294" s="66"/>
      <c r="H294" s="64" t="e">
        <f t="shared" si="7"/>
        <v>#DIV/0!</v>
      </c>
    </row>
    <row r="295" spans="1:8" ht="15">
      <c r="A295" s="63"/>
      <c r="B295" s="63">
        <v>6310</v>
      </c>
      <c r="C295" s="63">
        <v>2141</v>
      </c>
      <c r="D295" s="63" t="s">
        <v>239</v>
      </c>
      <c r="E295" s="64">
        <v>300</v>
      </c>
      <c r="F295" s="65">
        <v>300</v>
      </c>
      <c r="G295" s="66">
        <v>497.5</v>
      </c>
      <c r="H295" s="64">
        <f t="shared" si="7"/>
        <v>165.83333333333334</v>
      </c>
    </row>
    <row r="296" spans="1:8" ht="15" hidden="1">
      <c r="A296" s="63"/>
      <c r="B296" s="63">
        <v>6310</v>
      </c>
      <c r="C296" s="63">
        <v>2142</v>
      </c>
      <c r="D296" s="63" t="s">
        <v>240</v>
      </c>
      <c r="E296" s="147"/>
      <c r="F296" s="148"/>
      <c r="G296" s="66"/>
      <c r="H296" s="64" t="e">
        <f t="shared" si="7"/>
        <v>#DIV/0!</v>
      </c>
    </row>
    <row r="297" spans="1:8" ht="15">
      <c r="A297" s="63"/>
      <c r="B297" s="63">
        <v>6310</v>
      </c>
      <c r="C297" s="63">
        <v>2329</v>
      </c>
      <c r="D297" s="63" t="s">
        <v>241</v>
      </c>
      <c r="E297" s="147">
        <v>0</v>
      </c>
      <c r="F297" s="148">
        <v>0</v>
      </c>
      <c r="G297" s="66">
        <v>1.8</v>
      </c>
      <c r="H297" s="64" t="e">
        <f t="shared" si="7"/>
        <v>#DIV/0!</v>
      </c>
    </row>
    <row r="298" spans="1:8" ht="15">
      <c r="A298" s="63"/>
      <c r="B298" s="63">
        <v>6409</v>
      </c>
      <c r="C298" s="63">
        <v>2328</v>
      </c>
      <c r="D298" s="63" t="s">
        <v>242</v>
      </c>
      <c r="E298" s="147">
        <v>0</v>
      </c>
      <c r="F298" s="148">
        <v>0</v>
      </c>
      <c r="G298" s="66">
        <v>14.3</v>
      </c>
      <c r="H298" s="64" t="e">
        <f t="shared" si="7"/>
        <v>#DIV/0!</v>
      </c>
    </row>
    <row r="299" spans="1:8" ht="15.75" customHeight="1" thickBot="1">
      <c r="A299" s="119"/>
      <c r="B299" s="119"/>
      <c r="C299" s="119"/>
      <c r="D299" s="119"/>
      <c r="E299" s="149"/>
      <c r="F299" s="150"/>
      <c r="G299" s="151"/>
      <c r="H299" s="149"/>
    </row>
    <row r="300" spans="1:8" s="83" customFormat="1" ht="21.75" customHeight="1" thickBot="1" thickTop="1">
      <c r="A300" s="124"/>
      <c r="B300" s="124"/>
      <c r="C300" s="124"/>
      <c r="D300" s="125" t="s">
        <v>243</v>
      </c>
      <c r="E300" s="126">
        <f>SUM(E274:E299)</f>
        <v>302600</v>
      </c>
      <c r="F300" s="127">
        <f>SUM(F274:F299)</f>
        <v>302779.2</v>
      </c>
      <c r="G300" s="128">
        <f>SUM(G274:G299)</f>
        <v>272762.39999999997</v>
      </c>
      <c r="H300" s="80">
        <f>(G300/F300)*100</f>
        <v>90.08624106279426</v>
      </c>
    </row>
    <row r="301" spans="1:8" ht="15" customHeight="1">
      <c r="A301" s="103"/>
      <c r="B301" s="103"/>
      <c r="C301" s="103"/>
      <c r="D301" s="46"/>
      <c r="E301" s="104"/>
      <c r="F301" s="104"/>
      <c r="G301" s="104"/>
      <c r="H301" s="104"/>
    </row>
    <row r="302" spans="1:8" ht="15">
      <c r="A302" s="83"/>
      <c r="B302" s="103"/>
      <c r="C302" s="103"/>
      <c r="D302" s="103"/>
      <c r="E302" s="152"/>
      <c r="F302" s="152"/>
      <c r="G302" s="152"/>
      <c r="H302" s="152"/>
    </row>
    <row r="303" spans="1:8" ht="15" hidden="1">
      <c r="A303" s="83"/>
      <c r="B303" s="103"/>
      <c r="C303" s="103"/>
      <c r="D303" s="103"/>
      <c r="E303" s="152"/>
      <c r="F303" s="152"/>
      <c r="G303" s="152"/>
      <c r="H303" s="152"/>
    </row>
    <row r="304" spans="1:8" ht="15" customHeight="1" thickBot="1">
      <c r="A304" s="83"/>
      <c r="B304" s="103"/>
      <c r="C304" s="103"/>
      <c r="D304" s="103"/>
      <c r="E304" s="152"/>
      <c r="F304" s="152"/>
      <c r="G304" s="152"/>
      <c r="H304" s="152"/>
    </row>
    <row r="305" spans="1:8" ht="15.75">
      <c r="A305" s="51" t="s">
        <v>25</v>
      </c>
      <c r="B305" s="51" t="s">
        <v>26</v>
      </c>
      <c r="C305" s="51" t="s">
        <v>27</v>
      </c>
      <c r="D305" s="52" t="s">
        <v>28</v>
      </c>
      <c r="E305" s="53" t="s">
        <v>29</v>
      </c>
      <c r="F305" s="53" t="s">
        <v>29</v>
      </c>
      <c r="G305" s="53" t="s">
        <v>8</v>
      </c>
      <c r="H305" s="53" t="s">
        <v>30</v>
      </c>
    </row>
    <row r="306" spans="1:8" ht="15.75" customHeight="1" thickBot="1">
      <c r="A306" s="54"/>
      <c r="B306" s="54"/>
      <c r="C306" s="54"/>
      <c r="D306" s="55"/>
      <c r="E306" s="56" t="s">
        <v>31</v>
      </c>
      <c r="F306" s="56" t="s">
        <v>32</v>
      </c>
      <c r="G306" s="57" t="s">
        <v>33</v>
      </c>
      <c r="H306" s="56" t="s">
        <v>34</v>
      </c>
    </row>
    <row r="307" spans="1:8" ht="16.5" customHeight="1" thickTop="1">
      <c r="A307" s="58">
        <v>120</v>
      </c>
      <c r="B307" s="58"/>
      <c r="C307" s="58"/>
      <c r="D307" s="109" t="s">
        <v>244</v>
      </c>
      <c r="E307" s="60"/>
      <c r="F307" s="61"/>
      <c r="G307" s="62"/>
      <c r="H307" s="60"/>
    </row>
    <row r="308" spans="1:8" ht="15.75">
      <c r="A308" s="109"/>
      <c r="B308" s="109"/>
      <c r="C308" s="109"/>
      <c r="D308" s="109"/>
      <c r="E308" s="64"/>
      <c r="F308" s="65"/>
      <c r="G308" s="66"/>
      <c r="H308" s="64"/>
    </row>
    <row r="309" spans="1:8" ht="15">
      <c r="A309" s="63"/>
      <c r="B309" s="63"/>
      <c r="C309" s="63">
        <v>1361</v>
      </c>
      <c r="D309" s="63" t="s">
        <v>37</v>
      </c>
      <c r="E309" s="153">
        <v>0</v>
      </c>
      <c r="F309" s="154">
        <v>0</v>
      </c>
      <c r="G309" s="155">
        <v>0.8</v>
      </c>
      <c r="H309" s="64" t="e">
        <f aca="true" t="shared" si="8" ref="H309:H348">(G309/F309)*100</f>
        <v>#DIV/0!</v>
      </c>
    </row>
    <row r="310" spans="1:8" ht="15">
      <c r="A310" s="63"/>
      <c r="B310" s="63">
        <v>3612</v>
      </c>
      <c r="C310" s="63">
        <v>2111</v>
      </c>
      <c r="D310" s="63" t="s">
        <v>245</v>
      </c>
      <c r="E310" s="153">
        <v>4000</v>
      </c>
      <c r="F310" s="154">
        <v>4000</v>
      </c>
      <c r="G310" s="155">
        <v>3412.9</v>
      </c>
      <c r="H310" s="64">
        <f t="shared" si="8"/>
        <v>85.3225</v>
      </c>
    </row>
    <row r="311" spans="1:8" ht="15">
      <c r="A311" s="63"/>
      <c r="B311" s="63">
        <v>3612</v>
      </c>
      <c r="C311" s="63">
        <v>2132</v>
      </c>
      <c r="D311" s="63" t="s">
        <v>246</v>
      </c>
      <c r="E311" s="153">
        <v>8600</v>
      </c>
      <c r="F311" s="154">
        <v>8600</v>
      </c>
      <c r="G311" s="155">
        <v>7189.9</v>
      </c>
      <c r="H311" s="64">
        <f t="shared" si="8"/>
        <v>83.60348837209301</v>
      </c>
    </row>
    <row r="312" spans="1:8" ht="15">
      <c r="A312" s="63"/>
      <c r="B312" s="63">
        <v>3612</v>
      </c>
      <c r="C312" s="63">
        <v>2322</v>
      </c>
      <c r="D312" s="63" t="s">
        <v>208</v>
      </c>
      <c r="E312" s="153">
        <v>0</v>
      </c>
      <c r="F312" s="154">
        <v>0</v>
      </c>
      <c r="G312" s="155">
        <v>108.7</v>
      </c>
      <c r="H312" s="64" t="e">
        <f t="shared" si="8"/>
        <v>#DIV/0!</v>
      </c>
    </row>
    <row r="313" spans="1:8" ht="15">
      <c r="A313" s="63"/>
      <c r="B313" s="63">
        <v>3612</v>
      </c>
      <c r="C313" s="63">
        <v>2324</v>
      </c>
      <c r="D313" s="63" t="s">
        <v>247</v>
      </c>
      <c r="E313" s="64">
        <v>0</v>
      </c>
      <c r="F313" s="65">
        <v>0</v>
      </c>
      <c r="G313" s="66">
        <v>989.1</v>
      </c>
      <c r="H313" s="64" t="e">
        <f t="shared" si="8"/>
        <v>#DIV/0!</v>
      </c>
    </row>
    <row r="314" spans="1:8" ht="15" hidden="1">
      <c r="A314" s="63"/>
      <c r="B314" s="63">
        <v>3612</v>
      </c>
      <c r="C314" s="63">
        <v>2329</v>
      </c>
      <c r="D314" s="63" t="s">
        <v>248</v>
      </c>
      <c r="E314" s="64"/>
      <c r="F314" s="65"/>
      <c r="G314" s="66"/>
      <c r="H314" s="64" t="e">
        <f t="shared" si="8"/>
        <v>#DIV/0!</v>
      </c>
    </row>
    <row r="315" spans="1:8" ht="15">
      <c r="A315" s="63"/>
      <c r="B315" s="63">
        <v>3612</v>
      </c>
      <c r="C315" s="63">
        <v>3112</v>
      </c>
      <c r="D315" s="63" t="s">
        <v>249</v>
      </c>
      <c r="E315" s="64">
        <v>4130</v>
      </c>
      <c r="F315" s="65">
        <v>4130</v>
      </c>
      <c r="G315" s="66">
        <v>808.2</v>
      </c>
      <c r="H315" s="64">
        <f t="shared" si="8"/>
        <v>19.56900726392252</v>
      </c>
    </row>
    <row r="316" spans="1:8" ht="15">
      <c r="A316" s="63"/>
      <c r="B316" s="63">
        <v>3613</v>
      </c>
      <c r="C316" s="63">
        <v>2111</v>
      </c>
      <c r="D316" s="63" t="s">
        <v>250</v>
      </c>
      <c r="E316" s="153">
        <v>1950</v>
      </c>
      <c r="F316" s="154">
        <v>1950</v>
      </c>
      <c r="G316" s="155">
        <v>1535.9</v>
      </c>
      <c r="H316" s="64">
        <f t="shared" si="8"/>
        <v>78.76410256410257</v>
      </c>
    </row>
    <row r="317" spans="1:8" ht="15">
      <c r="A317" s="63"/>
      <c r="B317" s="63">
        <v>3613</v>
      </c>
      <c r="C317" s="63">
        <v>2132</v>
      </c>
      <c r="D317" s="63" t="s">
        <v>251</v>
      </c>
      <c r="E317" s="153">
        <v>4800</v>
      </c>
      <c r="F317" s="154">
        <v>4800</v>
      </c>
      <c r="G317" s="155">
        <v>4257.5</v>
      </c>
      <c r="H317" s="64">
        <f t="shared" si="8"/>
        <v>88.69791666666667</v>
      </c>
    </row>
    <row r="318" spans="1:8" ht="15" hidden="1">
      <c r="A318" s="68"/>
      <c r="B318" s="63">
        <v>3613</v>
      </c>
      <c r="C318" s="63">
        <v>2133</v>
      </c>
      <c r="D318" s="63" t="s">
        <v>252</v>
      </c>
      <c r="E318" s="64"/>
      <c r="F318" s="65"/>
      <c r="G318" s="66"/>
      <c r="H318" s="64" t="e">
        <f t="shared" si="8"/>
        <v>#DIV/0!</v>
      </c>
    </row>
    <row r="319" spans="1:8" ht="15" hidden="1">
      <c r="A319" s="68"/>
      <c r="B319" s="63">
        <v>3613</v>
      </c>
      <c r="C319" s="63">
        <v>2310</v>
      </c>
      <c r="D319" s="63" t="s">
        <v>253</v>
      </c>
      <c r="E319" s="64"/>
      <c r="F319" s="65"/>
      <c r="G319" s="66"/>
      <c r="H319" s="64" t="e">
        <f t="shared" si="8"/>
        <v>#DIV/0!</v>
      </c>
    </row>
    <row r="320" spans="1:8" ht="15" hidden="1">
      <c r="A320" s="68"/>
      <c r="B320" s="63">
        <v>3613</v>
      </c>
      <c r="C320" s="63">
        <v>2322</v>
      </c>
      <c r="D320" s="63" t="s">
        <v>254</v>
      </c>
      <c r="E320" s="64"/>
      <c r="F320" s="65"/>
      <c r="G320" s="66"/>
      <c r="H320" s="64" t="e">
        <f t="shared" si="8"/>
        <v>#DIV/0!</v>
      </c>
    </row>
    <row r="321" spans="1:8" ht="15">
      <c r="A321" s="68"/>
      <c r="B321" s="63">
        <v>3613</v>
      </c>
      <c r="C321" s="63">
        <v>2324</v>
      </c>
      <c r="D321" s="63" t="s">
        <v>255</v>
      </c>
      <c r="E321" s="64">
        <v>0</v>
      </c>
      <c r="F321" s="65">
        <v>0</v>
      </c>
      <c r="G321" s="66">
        <v>206.7</v>
      </c>
      <c r="H321" s="64" t="e">
        <f t="shared" si="8"/>
        <v>#DIV/0!</v>
      </c>
    </row>
    <row r="322" spans="1:8" ht="15">
      <c r="A322" s="68"/>
      <c r="B322" s="63">
        <v>3613</v>
      </c>
      <c r="C322" s="63">
        <v>3112</v>
      </c>
      <c r="D322" s="63" t="s">
        <v>256</v>
      </c>
      <c r="E322" s="64">
        <v>1327</v>
      </c>
      <c r="F322" s="65">
        <v>1327</v>
      </c>
      <c r="G322" s="66">
        <v>306.6</v>
      </c>
      <c r="H322" s="64">
        <f t="shared" si="8"/>
        <v>23.10474755086662</v>
      </c>
    </row>
    <row r="323" spans="1:8" ht="15">
      <c r="A323" s="68"/>
      <c r="B323" s="63">
        <v>3631</v>
      </c>
      <c r="C323" s="63">
        <v>2133</v>
      </c>
      <c r="D323" s="63" t="s">
        <v>257</v>
      </c>
      <c r="E323" s="64">
        <v>380</v>
      </c>
      <c r="F323" s="65">
        <v>380</v>
      </c>
      <c r="G323" s="66">
        <v>294.7</v>
      </c>
      <c r="H323" s="64">
        <f t="shared" si="8"/>
        <v>77.55263157894736</v>
      </c>
    </row>
    <row r="324" spans="1:8" ht="15">
      <c r="A324" s="68"/>
      <c r="B324" s="63">
        <v>3632</v>
      </c>
      <c r="C324" s="63">
        <v>2111</v>
      </c>
      <c r="D324" s="63" t="s">
        <v>258</v>
      </c>
      <c r="E324" s="64">
        <v>400</v>
      </c>
      <c r="F324" s="65">
        <v>400</v>
      </c>
      <c r="G324" s="66">
        <v>535.6</v>
      </c>
      <c r="H324" s="64">
        <f t="shared" si="8"/>
        <v>133.9</v>
      </c>
    </row>
    <row r="325" spans="1:8" ht="15">
      <c r="A325" s="68"/>
      <c r="B325" s="63">
        <v>3632</v>
      </c>
      <c r="C325" s="63">
        <v>2132</v>
      </c>
      <c r="D325" s="63" t="s">
        <v>259</v>
      </c>
      <c r="E325" s="64">
        <v>20</v>
      </c>
      <c r="F325" s="65">
        <v>20</v>
      </c>
      <c r="G325" s="66">
        <v>20</v>
      </c>
      <c r="H325" s="64">
        <f t="shared" si="8"/>
        <v>100</v>
      </c>
    </row>
    <row r="326" spans="1:8" ht="15">
      <c r="A326" s="68"/>
      <c r="B326" s="63">
        <v>3632</v>
      </c>
      <c r="C326" s="63">
        <v>2133</v>
      </c>
      <c r="D326" s="63" t="s">
        <v>260</v>
      </c>
      <c r="E326" s="64">
        <v>5</v>
      </c>
      <c r="F326" s="65">
        <v>5</v>
      </c>
      <c r="G326" s="66">
        <v>5</v>
      </c>
      <c r="H326" s="64">
        <f t="shared" si="8"/>
        <v>100</v>
      </c>
    </row>
    <row r="327" spans="1:8" ht="15">
      <c r="A327" s="68"/>
      <c r="B327" s="63">
        <v>3632</v>
      </c>
      <c r="C327" s="63">
        <v>2324</v>
      </c>
      <c r="D327" s="63" t="s">
        <v>261</v>
      </c>
      <c r="E327" s="64">
        <v>0</v>
      </c>
      <c r="F327" s="65">
        <v>0</v>
      </c>
      <c r="G327" s="66">
        <v>99.7</v>
      </c>
      <c r="H327" s="64" t="e">
        <f t="shared" si="8"/>
        <v>#DIV/0!</v>
      </c>
    </row>
    <row r="328" spans="1:8" ht="15">
      <c r="A328" s="68"/>
      <c r="B328" s="63">
        <v>3632</v>
      </c>
      <c r="C328" s="63">
        <v>2329</v>
      </c>
      <c r="D328" s="63" t="s">
        <v>262</v>
      </c>
      <c r="E328" s="64">
        <v>50</v>
      </c>
      <c r="F328" s="65">
        <v>50</v>
      </c>
      <c r="G328" s="66">
        <v>53.7</v>
      </c>
      <c r="H328" s="64">
        <f t="shared" si="8"/>
        <v>107.4</v>
      </c>
    </row>
    <row r="329" spans="1:8" ht="15">
      <c r="A329" s="68"/>
      <c r="B329" s="63">
        <v>3634</v>
      </c>
      <c r="C329" s="63">
        <v>2132</v>
      </c>
      <c r="D329" s="63" t="s">
        <v>263</v>
      </c>
      <c r="E329" s="64">
        <v>4171</v>
      </c>
      <c r="F329" s="65">
        <v>4171</v>
      </c>
      <c r="G329" s="66">
        <v>4157.5</v>
      </c>
      <c r="H329" s="64">
        <f t="shared" si="8"/>
        <v>99.67633660992567</v>
      </c>
    </row>
    <row r="330" spans="1:8" ht="15" hidden="1">
      <c r="A330" s="68"/>
      <c r="B330" s="63">
        <v>3636</v>
      </c>
      <c r="C330" s="63">
        <v>2131</v>
      </c>
      <c r="D330" s="63" t="s">
        <v>264</v>
      </c>
      <c r="E330" s="64"/>
      <c r="F330" s="65"/>
      <c r="G330" s="66"/>
      <c r="H330" s="64" t="e">
        <f t="shared" si="8"/>
        <v>#DIV/0!</v>
      </c>
    </row>
    <row r="331" spans="1:8" ht="15">
      <c r="A331" s="68"/>
      <c r="B331" s="63">
        <v>3639</v>
      </c>
      <c r="C331" s="63">
        <v>2119</v>
      </c>
      <c r="D331" s="63" t="s">
        <v>265</v>
      </c>
      <c r="E331" s="64">
        <v>100</v>
      </c>
      <c r="F331" s="65">
        <v>100</v>
      </c>
      <c r="G331" s="66">
        <v>528.4</v>
      </c>
      <c r="H331" s="64">
        <f t="shared" si="8"/>
        <v>528.4</v>
      </c>
    </row>
    <row r="332" spans="1:8" ht="15">
      <c r="A332" s="63"/>
      <c r="B332" s="63">
        <v>3639</v>
      </c>
      <c r="C332" s="63">
        <v>2131</v>
      </c>
      <c r="D332" s="63" t="s">
        <v>266</v>
      </c>
      <c r="E332" s="64">
        <v>1600</v>
      </c>
      <c r="F332" s="65">
        <v>1600</v>
      </c>
      <c r="G332" s="66">
        <v>2171.9</v>
      </c>
      <c r="H332" s="64">
        <f t="shared" si="8"/>
        <v>135.74375</v>
      </c>
    </row>
    <row r="333" spans="1:8" ht="15">
      <c r="A333" s="63"/>
      <c r="B333" s="63">
        <v>3639</v>
      </c>
      <c r="C333" s="63">
        <v>2132</v>
      </c>
      <c r="D333" s="63" t="s">
        <v>267</v>
      </c>
      <c r="E333" s="64">
        <v>18</v>
      </c>
      <c r="F333" s="65">
        <v>18</v>
      </c>
      <c r="G333" s="66">
        <v>11.5</v>
      </c>
      <c r="H333" s="64">
        <f t="shared" si="8"/>
        <v>63.888888888888886</v>
      </c>
    </row>
    <row r="334" spans="1:8" ht="15" customHeight="1">
      <c r="A334" s="63"/>
      <c r="B334" s="63">
        <v>3639</v>
      </c>
      <c r="C334" s="63">
        <v>2212</v>
      </c>
      <c r="D334" s="63" t="s">
        <v>268</v>
      </c>
      <c r="E334" s="64">
        <v>0</v>
      </c>
      <c r="F334" s="65">
        <v>0</v>
      </c>
      <c r="G334" s="66">
        <v>83.5</v>
      </c>
      <c r="H334" s="64" t="e">
        <f t="shared" si="8"/>
        <v>#DIV/0!</v>
      </c>
    </row>
    <row r="335" spans="1:8" ht="15">
      <c r="A335" s="63"/>
      <c r="B335" s="63">
        <v>3639</v>
      </c>
      <c r="C335" s="63">
        <v>2324</v>
      </c>
      <c r="D335" s="63" t="s">
        <v>269</v>
      </c>
      <c r="E335" s="64">
        <v>110.1</v>
      </c>
      <c r="F335" s="65">
        <v>110.1</v>
      </c>
      <c r="G335" s="66">
        <v>112.5</v>
      </c>
      <c r="H335" s="64">
        <f t="shared" si="8"/>
        <v>102.17983651226159</v>
      </c>
    </row>
    <row r="336" spans="1:8" ht="15">
      <c r="A336" s="63"/>
      <c r="B336" s="63">
        <v>3639</v>
      </c>
      <c r="C336" s="63">
        <v>2328</v>
      </c>
      <c r="D336" s="63" t="s">
        <v>270</v>
      </c>
      <c r="E336" s="64">
        <v>0</v>
      </c>
      <c r="F336" s="65">
        <v>0</v>
      </c>
      <c r="G336" s="66">
        <v>0</v>
      </c>
      <c r="H336" s="64" t="e">
        <f t="shared" si="8"/>
        <v>#DIV/0!</v>
      </c>
    </row>
    <row r="337" spans="1:8" ht="15" customHeight="1">
      <c r="A337" s="90"/>
      <c r="B337" s="90">
        <v>3639</v>
      </c>
      <c r="C337" s="90">
        <v>2329</v>
      </c>
      <c r="D337" s="90" t="s">
        <v>70</v>
      </c>
      <c r="E337" s="64">
        <v>0</v>
      </c>
      <c r="F337" s="65">
        <v>0</v>
      </c>
      <c r="G337" s="66">
        <v>0.5</v>
      </c>
      <c r="H337" s="64" t="e">
        <f t="shared" si="8"/>
        <v>#DIV/0!</v>
      </c>
    </row>
    <row r="338" spans="1:8" ht="15">
      <c r="A338" s="63"/>
      <c r="B338" s="63">
        <v>3639</v>
      </c>
      <c r="C338" s="63">
        <v>3111</v>
      </c>
      <c r="D338" s="63" t="s">
        <v>271</v>
      </c>
      <c r="E338" s="64">
        <v>214</v>
      </c>
      <c r="F338" s="65">
        <v>214</v>
      </c>
      <c r="G338" s="66">
        <v>711.1</v>
      </c>
      <c r="H338" s="64">
        <f t="shared" si="8"/>
        <v>332.2897196261682</v>
      </c>
    </row>
    <row r="339" spans="1:8" ht="15" hidden="1">
      <c r="A339" s="63"/>
      <c r="B339" s="63">
        <v>3639</v>
      </c>
      <c r="C339" s="63">
        <v>3112</v>
      </c>
      <c r="D339" s="63" t="s">
        <v>272</v>
      </c>
      <c r="E339" s="64"/>
      <c r="F339" s="65"/>
      <c r="G339" s="66"/>
      <c r="H339" s="64" t="e">
        <f t="shared" si="8"/>
        <v>#DIV/0!</v>
      </c>
    </row>
    <row r="340" spans="1:8" ht="15" hidden="1">
      <c r="A340" s="63"/>
      <c r="B340" s="63">
        <v>3639</v>
      </c>
      <c r="C340" s="63">
        <v>3113</v>
      </c>
      <c r="D340" s="63" t="s">
        <v>273</v>
      </c>
      <c r="E340" s="64"/>
      <c r="F340" s="65"/>
      <c r="G340" s="66"/>
      <c r="H340" s="64" t="e">
        <f t="shared" si="8"/>
        <v>#DIV/0!</v>
      </c>
    </row>
    <row r="341" spans="1:8" ht="15" customHeight="1">
      <c r="A341" s="90"/>
      <c r="B341" s="90">
        <v>3639</v>
      </c>
      <c r="C341" s="90">
        <v>3119</v>
      </c>
      <c r="D341" s="90" t="s">
        <v>274</v>
      </c>
      <c r="E341" s="64">
        <v>7200</v>
      </c>
      <c r="F341" s="65">
        <v>7200</v>
      </c>
      <c r="G341" s="66">
        <v>3000</v>
      </c>
      <c r="H341" s="64">
        <f t="shared" si="8"/>
        <v>41.66666666666667</v>
      </c>
    </row>
    <row r="342" spans="1:8" ht="15" hidden="1">
      <c r="A342" s="90"/>
      <c r="B342" s="90">
        <v>6171</v>
      </c>
      <c r="C342" s="90">
        <v>2131</v>
      </c>
      <c r="D342" s="90" t="s">
        <v>275</v>
      </c>
      <c r="E342" s="64"/>
      <c r="F342" s="65"/>
      <c r="G342" s="66"/>
      <c r="H342" s="64" t="e">
        <f t="shared" si="8"/>
        <v>#DIV/0!</v>
      </c>
    </row>
    <row r="343" spans="1:8" ht="15" hidden="1">
      <c r="A343" s="63"/>
      <c r="B343" s="63">
        <v>6171</v>
      </c>
      <c r="C343" s="63">
        <v>2324</v>
      </c>
      <c r="D343" s="63" t="s">
        <v>276</v>
      </c>
      <c r="E343" s="64"/>
      <c r="F343" s="65"/>
      <c r="G343" s="66"/>
      <c r="H343" s="64" t="e">
        <f t="shared" si="8"/>
        <v>#DIV/0!</v>
      </c>
    </row>
    <row r="344" spans="1:8" ht="15" hidden="1">
      <c r="A344" s="63"/>
      <c r="B344" s="63"/>
      <c r="C344" s="63"/>
      <c r="D344" s="63"/>
      <c r="E344" s="64"/>
      <c r="F344" s="65"/>
      <c r="G344" s="66"/>
      <c r="H344" s="64" t="e">
        <f t="shared" si="8"/>
        <v>#DIV/0!</v>
      </c>
    </row>
    <row r="345" spans="1:8" ht="15" customHeight="1">
      <c r="A345" s="90"/>
      <c r="B345" s="90">
        <v>6171</v>
      </c>
      <c r="C345" s="90">
        <v>2131</v>
      </c>
      <c r="D345" s="90" t="s">
        <v>277</v>
      </c>
      <c r="E345" s="64">
        <v>10</v>
      </c>
      <c r="F345" s="65">
        <v>10</v>
      </c>
      <c r="G345" s="66">
        <v>0</v>
      </c>
      <c r="H345" s="64">
        <f t="shared" si="8"/>
        <v>0</v>
      </c>
    </row>
    <row r="346" spans="1:8" ht="15" customHeight="1" hidden="1">
      <c r="A346" s="90"/>
      <c r="B346" s="90">
        <v>6171</v>
      </c>
      <c r="C346" s="90">
        <v>2133</v>
      </c>
      <c r="D346" s="90" t="s">
        <v>278</v>
      </c>
      <c r="E346" s="64"/>
      <c r="F346" s="65"/>
      <c r="G346" s="66"/>
      <c r="H346" s="64" t="e">
        <f t="shared" si="8"/>
        <v>#DIV/0!</v>
      </c>
    </row>
    <row r="347" spans="1:8" ht="15" customHeight="1" hidden="1">
      <c r="A347" s="63"/>
      <c r="B347" s="63">
        <v>6409</v>
      </c>
      <c r="C347" s="63">
        <v>2328</v>
      </c>
      <c r="D347" s="63" t="s">
        <v>279</v>
      </c>
      <c r="E347" s="64"/>
      <c r="F347" s="65"/>
      <c r="G347" s="66"/>
      <c r="H347" s="64" t="e">
        <f t="shared" si="8"/>
        <v>#DIV/0!</v>
      </c>
    </row>
    <row r="348" spans="1:8" ht="15" customHeight="1">
      <c r="A348" s="90"/>
      <c r="B348" s="90">
        <v>6409</v>
      </c>
      <c r="C348" s="90">
        <v>2328</v>
      </c>
      <c r="D348" s="90" t="s">
        <v>279</v>
      </c>
      <c r="E348" s="64">
        <v>0</v>
      </c>
      <c r="F348" s="65">
        <v>0</v>
      </c>
      <c r="G348" s="66">
        <v>0</v>
      </c>
      <c r="H348" s="64" t="e">
        <f t="shared" si="8"/>
        <v>#DIV/0!</v>
      </c>
    </row>
    <row r="349" spans="1:8" ht="15.75" customHeight="1" thickBot="1">
      <c r="A349" s="156"/>
      <c r="B349" s="156"/>
      <c r="C349" s="156"/>
      <c r="D349" s="156"/>
      <c r="E349" s="157"/>
      <c r="F349" s="158"/>
      <c r="G349" s="159"/>
      <c r="H349" s="157"/>
    </row>
    <row r="350" spans="1:8" s="83" customFormat="1" ht="22.5" customHeight="1" thickBot="1" thickTop="1">
      <c r="A350" s="124"/>
      <c r="B350" s="124"/>
      <c r="C350" s="124"/>
      <c r="D350" s="125" t="s">
        <v>280</v>
      </c>
      <c r="E350" s="126">
        <f>SUM(E308:E349)</f>
        <v>39085.1</v>
      </c>
      <c r="F350" s="127">
        <f>SUM(F308:F349)</f>
        <v>39085.1</v>
      </c>
      <c r="G350" s="128">
        <f>SUM(G308:G349)</f>
        <v>30601.9</v>
      </c>
      <c r="H350" s="80">
        <f>(G350/F350)*100</f>
        <v>78.29556531772978</v>
      </c>
    </row>
    <row r="351" spans="1:8" ht="15" customHeight="1">
      <c r="A351" s="83"/>
      <c r="B351" s="103"/>
      <c r="C351" s="103"/>
      <c r="D351" s="103"/>
      <c r="E351" s="152"/>
      <c r="F351" s="152"/>
      <c r="G351" s="152"/>
      <c r="H351" s="152"/>
    </row>
    <row r="352" spans="1:8" ht="15" customHeight="1" hidden="1">
      <c r="A352" s="83"/>
      <c r="B352" s="103"/>
      <c r="C352" s="103"/>
      <c r="D352" s="103"/>
      <c r="E352" s="152"/>
      <c r="F352" s="152"/>
      <c r="G352" s="152"/>
      <c r="H352" s="152"/>
    </row>
    <row r="353" spans="1:8" ht="15" customHeight="1" hidden="1">
      <c r="A353" s="83"/>
      <c r="B353" s="103"/>
      <c r="C353" s="103"/>
      <c r="D353" s="103"/>
      <c r="E353" s="152"/>
      <c r="F353" s="152"/>
      <c r="G353" s="152"/>
      <c r="H353" s="152"/>
    </row>
    <row r="354" spans="1:8" ht="15" customHeight="1" hidden="1">
      <c r="A354" s="83"/>
      <c r="B354" s="103"/>
      <c r="C354" s="103"/>
      <c r="D354" s="103"/>
      <c r="E354" s="152"/>
      <c r="F354" s="152"/>
      <c r="G354" s="42"/>
      <c r="H354" s="42"/>
    </row>
    <row r="355" spans="1:8" ht="15" customHeight="1" hidden="1">
      <c r="A355" s="83"/>
      <c r="B355" s="103"/>
      <c r="C355" s="103"/>
      <c r="D355" s="103"/>
      <c r="E355" s="152"/>
      <c r="F355" s="152"/>
      <c r="G355" s="152"/>
      <c r="H355" s="152"/>
    </row>
    <row r="356" spans="1:8" ht="15" customHeight="1">
      <c r="A356" s="83"/>
      <c r="B356" s="103"/>
      <c r="C356" s="103"/>
      <c r="D356" s="103"/>
      <c r="E356" s="152"/>
      <c r="F356" s="152"/>
      <c r="G356" s="152"/>
      <c r="H356" s="152"/>
    </row>
    <row r="357" spans="1:8" ht="15" customHeight="1" thickBot="1">
      <c r="A357" s="83"/>
      <c r="B357" s="103"/>
      <c r="C357" s="103"/>
      <c r="D357" s="103"/>
      <c r="E357" s="152"/>
      <c r="F357" s="152"/>
      <c r="G357" s="152"/>
      <c r="H357" s="152"/>
    </row>
    <row r="358" spans="1:8" ht="15.75">
      <c r="A358" s="51" t="s">
        <v>25</v>
      </c>
      <c r="B358" s="51" t="s">
        <v>26</v>
      </c>
      <c r="C358" s="51" t="s">
        <v>27</v>
      </c>
      <c r="D358" s="52" t="s">
        <v>28</v>
      </c>
      <c r="E358" s="53" t="s">
        <v>29</v>
      </c>
      <c r="F358" s="53" t="s">
        <v>29</v>
      </c>
      <c r="G358" s="53" t="s">
        <v>8</v>
      </c>
      <c r="H358" s="53" t="s">
        <v>30</v>
      </c>
    </row>
    <row r="359" spans="1:8" ht="15.75" customHeight="1" thickBot="1">
      <c r="A359" s="54"/>
      <c r="B359" s="54"/>
      <c r="C359" s="54"/>
      <c r="D359" s="55"/>
      <c r="E359" s="56" t="s">
        <v>31</v>
      </c>
      <c r="F359" s="56" t="s">
        <v>32</v>
      </c>
      <c r="G359" s="57" t="s">
        <v>33</v>
      </c>
      <c r="H359" s="56" t="s">
        <v>34</v>
      </c>
    </row>
    <row r="360" spans="1:8" ht="16.5" thickTop="1">
      <c r="A360" s="58">
        <v>8888</v>
      </c>
      <c r="B360" s="58"/>
      <c r="C360" s="58"/>
      <c r="D360" s="59"/>
      <c r="E360" s="60"/>
      <c r="F360" s="61"/>
      <c r="G360" s="62"/>
      <c r="H360" s="60"/>
    </row>
    <row r="361" spans="1:8" ht="15">
      <c r="A361" s="63"/>
      <c r="B361" s="63">
        <v>6171</v>
      </c>
      <c r="C361" s="63">
        <v>2329</v>
      </c>
      <c r="D361" s="63" t="s">
        <v>281</v>
      </c>
      <c r="E361" s="64">
        <v>0</v>
      </c>
      <c r="F361" s="65">
        <v>0</v>
      </c>
      <c r="G361" s="66">
        <v>0</v>
      </c>
      <c r="H361" s="64" t="e">
        <f>(G361/F361)*100</f>
        <v>#DIV/0!</v>
      </c>
    </row>
    <row r="362" spans="1:8" ht="15">
      <c r="A362" s="63"/>
      <c r="B362" s="63"/>
      <c r="C362" s="63"/>
      <c r="D362" s="63" t="s">
        <v>282</v>
      </c>
      <c r="E362" s="64"/>
      <c r="F362" s="65"/>
      <c r="G362" s="66"/>
      <c r="H362" s="64"/>
    </row>
    <row r="363" spans="1:8" ht="15.75" thickBot="1">
      <c r="A363" s="119"/>
      <c r="B363" s="119"/>
      <c r="C363" s="119"/>
      <c r="D363" s="119" t="s">
        <v>283</v>
      </c>
      <c r="E363" s="120"/>
      <c r="F363" s="121"/>
      <c r="G363" s="122"/>
      <c r="H363" s="120"/>
    </row>
    <row r="364" spans="1:8" s="83" customFormat="1" ht="22.5" customHeight="1" thickBot="1" thickTop="1">
      <c r="A364" s="124"/>
      <c r="B364" s="124"/>
      <c r="C364" s="124"/>
      <c r="D364" s="125" t="s">
        <v>284</v>
      </c>
      <c r="E364" s="126">
        <f>SUM(E361:E362)</f>
        <v>0</v>
      </c>
      <c r="F364" s="127">
        <f>SUM(F361:F362)</f>
        <v>0</v>
      </c>
      <c r="G364" s="128">
        <f>SUM(G361:G362)</f>
        <v>0</v>
      </c>
      <c r="H364" s="80" t="e">
        <f>(G364/F364)*100</f>
        <v>#DIV/0!</v>
      </c>
    </row>
    <row r="365" spans="1:8" ht="15">
      <c r="A365" s="83"/>
      <c r="B365" s="103"/>
      <c r="C365" s="103"/>
      <c r="D365" s="103"/>
      <c r="E365" s="152"/>
      <c r="F365" s="152"/>
      <c r="G365" s="152"/>
      <c r="H365" s="152"/>
    </row>
    <row r="366" spans="1:8" ht="15" hidden="1">
      <c r="A366" s="83"/>
      <c r="B366" s="103"/>
      <c r="C366" s="103"/>
      <c r="D366" s="103"/>
      <c r="E366" s="152"/>
      <c r="F366" s="152"/>
      <c r="G366" s="152"/>
      <c r="H366" s="152"/>
    </row>
    <row r="367" spans="1:8" ht="15" hidden="1">
      <c r="A367" s="83"/>
      <c r="B367" s="103"/>
      <c r="C367" s="103"/>
      <c r="D367" s="103"/>
      <c r="E367" s="152"/>
      <c r="F367" s="152"/>
      <c r="G367" s="152"/>
      <c r="H367" s="152"/>
    </row>
    <row r="368" spans="1:8" ht="15" hidden="1">
      <c r="A368" s="83"/>
      <c r="B368" s="103"/>
      <c r="C368" s="103"/>
      <c r="D368" s="103"/>
      <c r="E368" s="152"/>
      <c r="F368" s="152"/>
      <c r="G368" s="152"/>
      <c r="H368" s="152"/>
    </row>
    <row r="369" spans="1:8" ht="15" hidden="1">
      <c r="A369" s="83"/>
      <c r="B369" s="103"/>
      <c r="C369" s="103"/>
      <c r="D369" s="103"/>
      <c r="E369" s="152"/>
      <c r="F369" s="152"/>
      <c r="G369" s="152"/>
      <c r="H369" s="152"/>
    </row>
    <row r="370" spans="1:8" ht="15" hidden="1">
      <c r="A370" s="83"/>
      <c r="B370" s="103"/>
      <c r="C370" s="103"/>
      <c r="D370" s="103"/>
      <c r="E370" s="152"/>
      <c r="F370" s="152"/>
      <c r="G370" s="152"/>
      <c r="H370" s="152"/>
    </row>
    <row r="371" spans="1:8" ht="15" customHeight="1">
      <c r="A371" s="83"/>
      <c r="B371" s="103"/>
      <c r="C371" s="103"/>
      <c r="D371" s="103"/>
      <c r="E371" s="152"/>
      <c r="F371" s="152"/>
      <c r="G371" s="152"/>
      <c r="H371" s="152"/>
    </row>
    <row r="372" spans="1:8" ht="15" customHeight="1" thickBot="1">
      <c r="A372" s="83"/>
      <c r="B372" s="83"/>
      <c r="C372" s="83"/>
      <c r="D372" s="83"/>
      <c r="E372" s="84"/>
      <c r="F372" s="84"/>
      <c r="G372" s="84"/>
      <c r="H372" s="84"/>
    </row>
    <row r="373" spans="1:8" ht="15.75">
      <c r="A373" s="51" t="s">
        <v>25</v>
      </c>
      <c r="B373" s="51" t="s">
        <v>26</v>
      </c>
      <c r="C373" s="51" t="s">
        <v>27</v>
      </c>
      <c r="D373" s="52" t="s">
        <v>28</v>
      </c>
      <c r="E373" s="53" t="s">
        <v>29</v>
      </c>
      <c r="F373" s="53" t="s">
        <v>29</v>
      </c>
      <c r="G373" s="53" t="s">
        <v>8</v>
      </c>
      <c r="H373" s="53" t="s">
        <v>30</v>
      </c>
    </row>
    <row r="374" spans="1:8" ht="15.75" customHeight="1" thickBot="1">
      <c r="A374" s="54"/>
      <c r="B374" s="54"/>
      <c r="C374" s="54"/>
      <c r="D374" s="55"/>
      <c r="E374" s="56" t="s">
        <v>31</v>
      </c>
      <c r="F374" s="56" t="s">
        <v>32</v>
      </c>
      <c r="G374" s="57" t="s">
        <v>33</v>
      </c>
      <c r="H374" s="56" t="s">
        <v>34</v>
      </c>
    </row>
    <row r="375" spans="1:8" s="83" customFormat="1" ht="30.75" customHeight="1" thickBot="1" thickTop="1">
      <c r="A375" s="125"/>
      <c r="B375" s="160"/>
      <c r="C375" s="161"/>
      <c r="D375" s="162" t="s">
        <v>285</v>
      </c>
      <c r="E375" s="163">
        <f>SUM(E60,E108,E148,E175,E201,E228,E247,E267,E300,E350,E364)</f>
        <v>434937.1</v>
      </c>
      <c r="F375" s="164">
        <f>SUM(F60,F108,F148,F175,F201,F228,F247,F267,F300,F350,F364)</f>
        <v>441007.2</v>
      </c>
      <c r="G375" s="165">
        <f>SUM(G60,G108,G148,G175,G201,G228,G247,G267,G300,G350,G364)</f>
        <v>369888.3</v>
      </c>
      <c r="H375" s="163">
        <f>(G375/F375)*100</f>
        <v>83.87352859545149</v>
      </c>
    </row>
    <row r="376" spans="1:8" ht="15" customHeight="1">
      <c r="A376" s="46"/>
      <c r="B376" s="166"/>
      <c r="C376" s="167"/>
      <c r="D376" s="168"/>
      <c r="E376" s="169"/>
      <c r="F376" s="169"/>
      <c r="G376" s="169"/>
      <c r="H376" s="169"/>
    </row>
    <row r="377" spans="1:8" ht="15" customHeight="1" hidden="1">
      <c r="A377" s="46"/>
      <c r="B377" s="166"/>
      <c r="C377" s="167"/>
      <c r="D377" s="168"/>
      <c r="E377" s="169"/>
      <c r="F377" s="169"/>
      <c r="G377" s="169"/>
      <c r="H377" s="169"/>
    </row>
    <row r="378" spans="1:8" ht="12.75" customHeight="1" hidden="1">
      <c r="A378" s="46"/>
      <c r="B378" s="166"/>
      <c r="C378" s="167"/>
      <c r="D378" s="168"/>
      <c r="E378" s="169"/>
      <c r="F378" s="169"/>
      <c r="G378" s="169"/>
      <c r="H378" s="169"/>
    </row>
    <row r="379" spans="1:8" ht="12.75" customHeight="1" hidden="1">
      <c r="A379" s="46"/>
      <c r="B379" s="166"/>
      <c r="C379" s="167"/>
      <c r="D379" s="168"/>
      <c r="E379" s="169"/>
      <c r="F379" s="169"/>
      <c r="G379" s="169"/>
      <c r="H379" s="169"/>
    </row>
    <row r="380" spans="1:8" ht="12.75" customHeight="1" hidden="1">
      <c r="A380" s="46"/>
      <c r="B380" s="166"/>
      <c r="C380" s="167"/>
      <c r="D380" s="168"/>
      <c r="E380" s="169"/>
      <c r="F380" s="169"/>
      <c r="G380" s="169"/>
      <c r="H380" s="169"/>
    </row>
    <row r="381" spans="1:8" ht="12.75" customHeight="1" hidden="1">
      <c r="A381" s="46"/>
      <c r="B381" s="166"/>
      <c r="C381" s="167"/>
      <c r="D381" s="168"/>
      <c r="E381" s="169"/>
      <c r="F381" s="169"/>
      <c r="G381" s="169"/>
      <c r="H381" s="169"/>
    </row>
    <row r="382" spans="1:8" ht="12.75" customHeight="1" hidden="1">
      <c r="A382" s="46"/>
      <c r="B382" s="166"/>
      <c r="C382" s="167"/>
      <c r="D382" s="168"/>
      <c r="E382" s="169"/>
      <c r="F382" s="169"/>
      <c r="G382" s="169"/>
      <c r="H382" s="169"/>
    </row>
    <row r="383" spans="1:8" ht="12.75" customHeight="1" hidden="1">
      <c r="A383" s="46"/>
      <c r="B383" s="166"/>
      <c r="C383" s="167"/>
      <c r="D383" s="168"/>
      <c r="E383" s="169"/>
      <c r="F383" s="169"/>
      <c r="G383" s="169"/>
      <c r="H383" s="169"/>
    </row>
    <row r="384" spans="1:8" ht="15" customHeight="1">
      <c r="A384" s="46"/>
      <c r="B384" s="166"/>
      <c r="C384" s="167"/>
      <c r="D384" s="168"/>
      <c r="E384" s="169"/>
      <c r="F384" s="169"/>
      <c r="G384" s="169"/>
      <c r="H384" s="169"/>
    </row>
    <row r="385" spans="1:8" ht="15" customHeight="1" thickBot="1">
      <c r="A385" s="46"/>
      <c r="B385" s="166"/>
      <c r="C385" s="167"/>
      <c r="D385" s="168"/>
      <c r="E385" s="170"/>
      <c r="F385" s="170"/>
      <c r="G385" s="170"/>
      <c r="H385" s="170"/>
    </row>
    <row r="386" spans="1:8" ht="15.75">
      <c r="A386" s="51" t="s">
        <v>25</v>
      </c>
      <c r="B386" s="51" t="s">
        <v>26</v>
      </c>
      <c r="C386" s="51" t="s">
        <v>27</v>
      </c>
      <c r="D386" s="52" t="s">
        <v>28</v>
      </c>
      <c r="E386" s="53" t="s">
        <v>29</v>
      </c>
      <c r="F386" s="53" t="s">
        <v>29</v>
      </c>
      <c r="G386" s="53" t="s">
        <v>8</v>
      </c>
      <c r="H386" s="53" t="s">
        <v>30</v>
      </c>
    </row>
    <row r="387" spans="1:8" ht="15.75" customHeight="1" thickBot="1">
      <c r="A387" s="54"/>
      <c r="B387" s="54"/>
      <c r="C387" s="54"/>
      <c r="D387" s="55"/>
      <c r="E387" s="56" t="s">
        <v>31</v>
      </c>
      <c r="F387" s="56" t="s">
        <v>32</v>
      </c>
      <c r="G387" s="57" t="s">
        <v>33</v>
      </c>
      <c r="H387" s="56" t="s">
        <v>34</v>
      </c>
    </row>
    <row r="388" spans="1:8" ht="16.5" customHeight="1" thickTop="1">
      <c r="A388" s="141">
        <v>110</v>
      </c>
      <c r="B388" s="141"/>
      <c r="C388" s="141"/>
      <c r="D388" s="171" t="s">
        <v>286</v>
      </c>
      <c r="E388" s="172"/>
      <c r="F388" s="173"/>
      <c r="G388" s="174"/>
      <c r="H388" s="172"/>
    </row>
    <row r="389" spans="1:8" ht="14.25" customHeight="1">
      <c r="A389" s="175"/>
      <c r="B389" s="175"/>
      <c r="C389" s="175"/>
      <c r="D389" s="46"/>
      <c r="E389" s="172"/>
      <c r="F389" s="173"/>
      <c r="G389" s="174"/>
      <c r="H389" s="172"/>
    </row>
    <row r="390" spans="1:8" ht="15" customHeight="1">
      <c r="A390" s="63"/>
      <c r="B390" s="63"/>
      <c r="C390" s="63">
        <v>8115</v>
      </c>
      <c r="D390" s="98" t="s">
        <v>287</v>
      </c>
      <c r="E390" s="176">
        <v>75633.4</v>
      </c>
      <c r="F390" s="177">
        <v>124998.2</v>
      </c>
      <c r="G390" s="178">
        <v>-25745.8</v>
      </c>
      <c r="H390" s="64">
        <f>(G390/F390)*100</f>
        <v>-20.59693659588698</v>
      </c>
    </row>
    <row r="391" spans="1:8" ht="15" hidden="1">
      <c r="A391" s="63"/>
      <c r="B391" s="63"/>
      <c r="C391" s="63">
        <v>8123</v>
      </c>
      <c r="D391" s="179" t="s">
        <v>288</v>
      </c>
      <c r="E391" s="69">
        <v>0</v>
      </c>
      <c r="F391" s="70"/>
      <c r="G391" s="71"/>
      <c r="H391" s="64" t="e">
        <f>(G391/F391)*100</f>
        <v>#DIV/0!</v>
      </c>
    </row>
    <row r="392" spans="1:8" ht="14.25" customHeight="1">
      <c r="A392" s="63"/>
      <c r="B392" s="63"/>
      <c r="C392" s="63">
        <v>8124</v>
      </c>
      <c r="D392" s="98" t="s">
        <v>289</v>
      </c>
      <c r="E392" s="64">
        <v>-18032</v>
      </c>
      <c r="F392" s="65">
        <v>-18032</v>
      </c>
      <c r="G392" s="66">
        <v>-14424</v>
      </c>
      <c r="H392" s="64">
        <f>(G392/F392)*100</f>
        <v>79.99112688553683</v>
      </c>
    </row>
    <row r="393" spans="1:8" ht="15" customHeight="1" hidden="1">
      <c r="A393" s="74"/>
      <c r="B393" s="74"/>
      <c r="C393" s="74">
        <v>8902</v>
      </c>
      <c r="D393" s="180" t="s">
        <v>290</v>
      </c>
      <c r="E393" s="75"/>
      <c r="F393" s="76"/>
      <c r="G393" s="77"/>
      <c r="H393" s="69" t="e">
        <f>(#REF!/F393)*100</f>
        <v>#REF!</v>
      </c>
    </row>
    <row r="394" spans="1:8" ht="14.25" customHeight="1" hidden="1">
      <c r="A394" s="63"/>
      <c r="B394" s="63"/>
      <c r="C394" s="63">
        <v>8905</v>
      </c>
      <c r="D394" s="98" t="s">
        <v>291</v>
      </c>
      <c r="E394" s="64"/>
      <c r="F394" s="65"/>
      <c r="G394" s="66"/>
      <c r="H394" s="64" t="e">
        <f>(#REF!/F394)*100</f>
        <v>#REF!</v>
      </c>
    </row>
    <row r="395" spans="1:8" ht="15" customHeight="1" thickBot="1">
      <c r="A395" s="119"/>
      <c r="B395" s="119"/>
      <c r="C395" s="119"/>
      <c r="D395" s="118"/>
      <c r="E395" s="120"/>
      <c r="F395" s="121"/>
      <c r="G395" s="122"/>
      <c r="H395" s="120"/>
    </row>
    <row r="396" spans="1:8" s="83" customFormat="1" ht="22.5" customHeight="1" thickBot="1" thickTop="1">
      <c r="A396" s="124"/>
      <c r="B396" s="124"/>
      <c r="C396" s="124"/>
      <c r="D396" s="181" t="s">
        <v>292</v>
      </c>
      <c r="E396" s="126">
        <f>SUM(E390:E394)</f>
        <v>57601.399999999994</v>
      </c>
      <c r="F396" s="127">
        <f>SUM(F390:F394)</f>
        <v>106966.2</v>
      </c>
      <c r="G396" s="128">
        <f>SUM(G390:G394)</f>
        <v>-40169.8</v>
      </c>
      <c r="H396" s="126">
        <f>(G396/F396)*100</f>
        <v>-37.55373192653381</v>
      </c>
    </row>
    <row r="397" spans="1:8" s="83" customFormat="1" ht="22.5" customHeight="1">
      <c r="A397" s="103"/>
      <c r="B397" s="103"/>
      <c r="C397" s="103"/>
      <c r="D397" s="46"/>
      <c r="E397" s="104"/>
      <c r="F397" s="182"/>
      <c r="G397" s="104"/>
      <c r="H397" s="104"/>
    </row>
    <row r="398" spans="1:8" ht="15" customHeight="1" hidden="1">
      <c r="A398" s="83" t="s">
        <v>293</v>
      </c>
      <c r="B398" s="83"/>
      <c r="C398" s="83"/>
      <c r="D398" s="46"/>
      <c r="E398" s="104"/>
      <c r="F398" s="182"/>
      <c r="G398" s="104"/>
      <c r="H398" s="104"/>
    </row>
    <row r="399" spans="1:8" ht="15" hidden="1">
      <c r="A399" s="103"/>
      <c r="B399" s="83"/>
      <c r="C399" s="103"/>
      <c r="D399" s="83"/>
      <c r="E399" s="84"/>
      <c r="F399" s="183"/>
      <c r="G399" s="84"/>
      <c r="H399" s="84"/>
    </row>
    <row r="400" spans="1:8" ht="15" hidden="1">
      <c r="A400" s="103"/>
      <c r="B400" s="103"/>
      <c r="C400" s="103"/>
      <c r="D400" s="83"/>
      <c r="E400" s="84"/>
      <c r="F400" s="84"/>
      <c r="G400" s="84"/>
      <c r="H400" s="84"/>
    </row>
    <row r="401" spans="1:8" ht="15" hidden="1">
      <c r="A401" s="184"/>
      <c r="B401" s="184"/>
      <c r="C401" s="184"/>
      <c r="D401" s="185" t="s">
        <v>294</v>
      </c>
      <c r="E401" s="186" t="e">
        <f>SUM(E14,#REF!,#REF!,E237,E261,E291,#REF!)</f>
        <v>#REF!</v>
      </c>
      <c r="F401" s="186"/>
      <c r="G401" s="186"/>
      <c r="H401" s="186"/>
    </row>
    <row r="402" spans="1:8" ht="15" hidden="1">
      <c r="A402" s="184"/>
      <c r="B402" s="184"/>
      <c r="C402" s="184"/>
      <c r="D402" s="187" t="s">
        <v>295</v>
      </c>
      <c r="E402" s="188">
        <f>E375+E396</f>
        <v>492538.5</v>
      </c>
      <c r="F402" s="188">
        <f>F375+F396</f>
        <v>547973.4</v>
      </c>
      <c r="G402" s="188">
        <f>G375+G396</f>
        <v>329718.5</v>
      </c>
      <c r="H402" s="64">
        <f>(G402/F402)*100</f>
        <v>60.17053017536982</v>
      </c>
    </row>
    <row r="403" spans="1:8" ht="15" hidden="1">
      <c r="A403" s="184"/>
      <c r="B403" s="184"/>
      <c r="C403" s="184"/>
      <c r="D403" s="187" t="s">
        <v>296</v>
      </c>
      <c r="E403" s="188"/>
      <c r="F403" s="188"/>
      <c r="G403" s="188"/>
      <c r="H403" s="188"/>
    </row>
    <row r="404" spans="1:8" ht="15" hidden="1">
      <c r="A404" s="184"/>
      <c r="B404" s="184"/>
      <c r="C404" s="184"/>
      <c r="D404" s="184" t="s">
        <v>297</v>
      </c>
      <c r="E404" s="189">
        <f>SUM(E264,E315,E322,E338,E341)</f>
        <v>12871</v>
      </c>
      <c r="F404" s="189"/>
      <c r="G404" s="189"/>
      <c r="H404" s="189"/>
    </row>
    <row r="405" spans="1:8" ht="15" hidden="1">
      <c r="A405" s="185"/>
      <c r="B405" s="185"/>
      <c r="C405" s="185"/>
      <c r="D405" s="185" t="s">
        <v>298</v>
      </c>
      <c r="E405" s="186"/>
      <c r="F405" s="186"/>
      <c r="G405" s="186"/>
      <c r="H405" s="186"/>
    </row>
    <row r="406" spans="1:8" ht="15" hidden="1">
      <c r="A406" s="185"/>
      <c r="B406" s="185"/>
      <c r="C406" s="185"/>
      <c r="D406" s="185" t="s">
        <v>297</v>
      </c>
      <c r="E406" s="186"/>
      <c r="F406" s="186"/>
      <c r="G406" s="186"/>
      <c r="H406" s="186"/>
    </row>
    <row r="407" spans="1:8" ht="15" hidden="1">
      <c r="A407" s="185"/>
      <c r="B407" s="185"/>
      <c r="C407" s="185"/>
      <c r="D407" s="185"/>
      <c r="E407" s="186"/>
      <c r="F407" s="186"/>
      <c r="G407" s="186"/>
      <c r="H407" s="186"/>
    </row>
    <row r="408" spans="1:8" ht="15" hidden="1">
      <c r="A408" s="185"/>
      <c r="B408" s="185"/>
      <c r="C408" s="185"/>
      <c r="D408" s="185" t="s">
        <v>299</v>
      </c>
      <c r="E408" s="186"/>
      <c r="F408" s="186"/>
      <c r="G408" s="186"/>
      <c r="H408" s="186"/>
    </row>
    <row r="409" spans="1:8" ht="15" hidden="1">
      <c r="A409" s="185"/>
      <c r="B409" s="185"/>
      <c r="C409" s="185"/>
      <c r="D409" s="185" t="s">
        <v>300</v>
      </c>
      <c r="E409" s="186"/>
      <c r="F409" s="186"/>
      <c r="G409" s="186"/>
      <c r="H409" s="186"/>
    </row>
    <row r="410" spans="1:8" ht="15" hidden="1">
      <c r="A410" s="185"/>
      <c r="B410" s="185"/>
      <c r="C410" s="185"/>
      <c r="D410" s="185" t="s">
        <v>301</v>
      </c>
      <c r="E410" s="186" t="e">
        <f>SUM(E9,E10,#REF!,#REF!,#REF!,E156,E185,E186,E187,E188,E189,#REF!,E212,E214,E262,E274,E275,E276,E277,E278,E279,#REF!,#REF!,E285,E287,E288,E289)</f>
        <v>#REF!</v>
      </c>
      <c r="F410" s="186"/>
      <c r="G410" s="186"/>
      <c r="H410" s="186"/>
    </row>
    <row r="411" spans="1:8" ht="15.75" hidden="1">
      <c r="A411" s="185"/>
      <c r="B411" s="185"/>
      <c r="C411" s="185"/>
      <c r="D411" s="190" t="s">
        <v>302</v>
      </c>
      <c r="E411" s="191">
        <v>0</v>
      </c>
      <c r="F411" s="191"/>
      <c r="G411" s="191"/>
      <c r="H411" s="191"/>
    </row>
    <row r="412" spans="1:8" ht="15" hidden="1">
      <c r="A412" s="185"/>
      <c r="B412" s="185"/>
      <c r="C412" s="185"/>
      <c r="D412" s="185"/>
      <c r="E412" s="186"/>
      <c r="F412" s="186"/>
      <c r="G412" s="186"/>
      <c r="H412" s="186"/>
    </row>
    <row r="413" spans="1:8" ht="15" hidden="1">
      <c r="A413" s="185"/>
      <c r="B413" s="185"/>
      <c r="C413" s="185"/>
      <c r="D413" s="185"/>
      <c r="E413" s="186"/>
      <c r="F413" s="186"/>
      <c r="G413" s="186"/>
      <c r="H413" s="186"/>
    </row>
    <row r="414" spans="1:8" ht="15">
      <c r="A414" s="185"/>
      <c r="B414" s="185"/>
      <c r="C414" s="185"/>
      <c r="D414" s="185"/>
      <c r="E414" s="186"/>
      <c r="F414" s="186"/>
      <c r="G414" s="186"/>
      <c r="H414" s="186"/>
    </row>
    <row r="415" spans="1:8" ht="15">
      <c r="A415" s="185"/>
      <c r="B415" s="185"/>
      <c r="C415" s="185"/>
      <c r="D415" s="185"/>
      <c r="E415" s="186"/>
      <c r="F415" s="186"/>
      <c r="G415" s="186"/>
      <c r="H415" s="186"/>
    </row>
    <row r="416" spans="1:8" ht="15.75" hidden="1">
      <c r="A416" s="185"/>
      <c r="B416" s="185"/>
      <c r="C416" s="185"/>
      <c r="D416" s="185" t="s">
        <v>298</v>
      </c>
      <c r="E416" s="191" t="e">
        <f>SUM(E9,E10,#REF!,#REF!,#REF!,E115,E156,E185,E186,E187,E188,E189,#REF!,E212,E213,E214,E261,E274,E275,E276,E277,E278,E279,#REF!,#REF!,E285,E287,E288,E289)</f>
        <v>#REF!</v>
      </c>
      <c r="F416" s="191" t="e">
        <f>SUM(F9,F10,#REF!,#REF!,#REF!,F115,F156,F185,F186,F187,F188,F189,#REF!,F212,F213,F214,F261,F274,F275,F276,F277,F278,F279,#REF!,#REF!,F285,F287,F288,F289)</f>
        <v>#REF!</v>
      </c>
      <c r="G416" s="191" t="e">
        <f>SUM(G9,G10,#REF!,#REF!,#REF!,G115,G156,G185,G186,G187,G188,G189,#REF!,G212,G213,G214,G261,G274,G275,G276,G277,G278,G279,#REF!,#REF!,G285,G287,G288,G289)</f>
        <v>#REF!</v>
      </c>
      <c r="H416" s="191" t="e">
        <f>SUM(H9,H10,#REF!,#REF!,#REF!,H115,H156,H185,H186,H187,H188,H189,#REF!,H212,H213,H214,H261,H274,H275,H276,H277,H278,H279,#REF!,#REF!,H285,H287,H288,H289)</f>
        <v>#REF!</v>
      </c>
    </row>
    <row r="417" spans="1:8" ht="15" hidden="1">
      <c r="A417" s="185"/>
      <c r="B417" s="185"/>
      <c r="C417" s="185"/>
      <c r="D417" s="185" t="s">
        <v>303</v>
      </c>
      <c r="E417" s="186">
        <f>SUM(E274,E275,E276,E277,E279)</f>
        <v>205700</v>
      </c>
      <c r="F417" s="186">
        <f>SUM(F274,F275,F276,F277,F279)</f>
        <v>205700</v>
      </c>
      <c r="G417" s="186">
        <f>SUM(G274,G275,G276,G277,G279)</f>
        <v>188010</v>
      </c>
      <c r="H417" s="186">
        <f>SUM(H274,H275,H276,H277,H279)</f>
        <v>438.83035914685024</v>
      </c>
    </row>
    <row r="418" spans="1:8" ht="15" hidden="1">
      <c r="A418" s="185"/>
      <c r="B418" s="185"/>
      <c r="C418" s="185"/>
      <c r="D418" s="185" t="s">
        <v>304</v>
      </c>
      <c r="E418" s="186" t="e">
        <f>SUM(E9,#REF!,#REF!,#REF!,#REF!,#REF!,E285)</f>
        <v>#REF!</v>
      </c>
      <c r="F418" s="186" t="e">
        <f>SUM(F9,#REF!,#REF!,#REF!,#REF!,#REF!,F285)</f>
        <v>#REF!</v>
      </c>
      <c r="G418" s="186" t="e">
        <f>SUM(G9,#REF!,#REF!,#REF!,#REF!,#REF!,G285)</f>
        <v>#REF!</v>
      </c>
      <c r="H418" s="186" t="e">
        <f>SUM(H9,#REF!,#REF!,#REF!,#REF!,#REF!,H285)</f>
        <v>#REF!</v>
      </c>
    </row>
    <row r="419" spans="1:8" ht="15" hidden="1">
      <c r="A419" s="185"/>
      <c r="B419" s="185"/>
      <c r="C419" s="185"/>
      <c r="D419" s="185" t="s">
        <v>305</v>
      </c>
      <c r="E419" s="186" t="e">
        <f>SUM(E10,E115,E156,E189,#REF!,E214,E261,E288)</f>
        <v>#REF!</v>
      </c>
      <c r="F419" s="186" t="e">
        <f>SUM(F10,F115,F156,F189,#REF!,F214,F261,F288)</f>
        <v>#REF!</v>
      </c>
      <c r="G419" s="186" t="e">
        <f>SUM(G10,G115,G156,G189,#REF!,G214,G261,G288)</f>
        <v>#REF!</v>
      </c>
      <c r="H419" s="186" t="e">
        <f>SUM(H10,H115,H156,H189,#REF!,H214,H261,H288)</f>
        <v>#REF!</v>
      </c>
    </row>
    <row r="420" spans="1:8" ht="15" hidden="1">
      <c r="A420" s="185"/>
      <c r="B420" s="185"/>
      <c r="C420" s="185"/>
      <c r="D420" s="185" t="s">
        <v>306</v>
      </c>
      <c r="E420" s="186"/>
      <c r="F420" s="186"/>
      <c r="G420" s="186"/>
      <c r="H420" s="186"/>
    </row>
    <row r="421" spans="1:8" ht="15" hidden="1">
      <c r="A421" s="185"/>
      <c r="B421" s="185"/>
      <c r="C421" s="185"/>
      <c r="D421" s="185" t="s">
        <v>307</v>
      </c>
      <c r="E421" s="186" t="e">
        <f>+E375-E416-E424-E425</f>
        <v>#REF!</v>
      </c>
      <c r="F421" s="186" t="e">
        <f>+F375-F416-F424-F425</f>
        <v>#REF!</v>
      </c>
      <c r="G421" s="186" t="e">
        <f>+G375-G416-G424-G425</f>
        <v>#REF!</v>
      </c>
      <c r="H421" s="186" t="e">
        <f>+H375-H416-H424-H425</f>
        <v>#REF!</v>
      </c>
    </row>
    <row r="422" spans="1:8" ht="15" hidden="1">
      <c r="A422" s="185"/>
      <c r="B422" s="185"/>
      <c r="C422" s="185"/>
      <c r="D422" s="185" t="s">
        <v>308</v>
      </c>
      <c r="E422" s="186" t="e">
        <f>SUM(E28,E40,E51,E53,#REF!,#REF!,#REF!,E132,#REF!,E136,E309,E317,E329,E332)</f>
        <v>#REF!</v>
      </c>
      <c r="F422" s="186" t="e">
        <f>SUM(F28,F40,F51,F53,#REF!,#REF!,#REF!,F132,#REF!,F136,F309,F317,F329,F332)</f>
        <v>#REF!</v>
      </c>
      <c r="G422" s="186" t="e">
        <f>SUM(G28,G40,G51,G53,#REF!,#REF!,#REF!,G132,#REF!,G136,G309,G317,G329,G332)</f>
        <v>#REF!</v>
      </c>
      <c r="H422" s="186" t="e">
        <f>SUM(H28,H40,H51,H53,#REF!,#REF!,#REF!,H132,#REF!,H136,H309,H317,H329,H332)</f>
        <v>#REF!</v>
      </c>
    </row>
    <row r="423" spans="1:8" ht="15" hidden="1">
      <c r="A423" s="185"/>
      <c r="B423" s="185"/>
      <c r="C423" s="185"/>
      <c r="D423" s="185" t="s">
        <v>309</v>
      </c>
      <c r="E423" s="186" t="e">
        <f>SUM(E103,#REF!,E172,E197,#REF!,E221,E239,E263)</f>
        <v>#REF!</v>
      </c>
      <c r="F423" s="186" t="e">
        <f>SUM(F103,#REF!,F172,F197,#REF!,F221,F239,F263)</f>
        <v>#REF!</v>
      </c>
      <c r="G423" s="186" t="e">
        <f>SUM(G103,#REF!,G172,G197,#REF!,G221,G239,G263)</f>
        <v>#REF!</v>
      </c>
      <c r="H423" s="186" t="e">
        <f>SUM(H103,#REF!,H172,H197,#REF!,H221,H239,H263)</f>
        <v>#REF!</v>
      </c>
    </row>
    <row r="424" spans="1:8" ht="15" hidden="1">
      <c r="A424" s="185"/>
      <c r="B424" s="185"/>
      <c r="C424" s="185"/>
      <c r="D424" s="185" t="s">
        <v>297</v>
      </c>
      <c r="E424" s="186" t="e">
        <f>SUM(#REF!,E264,E315,E322,E338,E341)</f>
        <v>#REF!</v>
      </c>
      <c r="F424" s="186" t="e">
        <f>SUM(#REF!,F264,F315,F322,F338,F341)</f>
        <v>#REF!</v>
      </c>
      <c r="G424" s="186" t="e">
        <f>SUM(#REF!,G264,G315,G322,G338,G341)</f>
        <v>#REF!</v>
      </c>
      <c r="H424" s="186" t="e">
        <f>SUM(#REF!,H264,H315,H322,H338,H341)</f>
        <v>#REF!</v>
      </c>
    </row>
    <row r="425" spans="1:8" ht="15" hidden="1">
      <c r="A425" s="185"/>
      <c r="B425" s="185"/>
      <c r="C425" s="185"/>
      <c r="D425" s="185" t="s">
        <v>299</v>
      </c>
      <c r="E425" s="186" t="e">
        <f>SUM(E11,E14,E18,E82,#REF!,#REF!,#REF!,#REF!,E105,#REF!,#REF!,#REF!,#REF!,#REF!,#REF!,#REF!,E122,#REF!,E123,#REF!,E124,E126,#REF!,#REF!,#REF!,E191,E237,E262,E291)</f>
        <v>#REF!</v>
      </c>
      <c r="F425" s="186" t="e">
        <f>SUM(F11,F14,F18,F82,#REF!,#REF!,#REF!,#REF!,F105,#REF!,#REF!,#REF!,#REF!,#REF!,#REF!,#REF!,F122,#REF!,F123,#REF!,F124,F126,#REF!,#REF!,#REF!,F191,F237,F262,F291)</f>
        <v>#REF!</v>
      </c>
      <c r="G425" s="186" t="e">
        <f>SUM(G11,G14,G18,G82,#REF!,#REF!,#REF!,#REF!,G105,#REF!,#REF!,#REF!,#REF!,#REF!,#REF!,#REF!,G122,#REF!,G123,#REF!,G124,G126,#REF!,#REF!,#REF!,G191,G237,G262,G291)</f>
        <v>#REF!</v>
      </c>
      <c r="H425" s="186" t="e">
        <f>SUM(H11,H14,H18,H82,#REF!,#REF!,#REF!,#REF!,H105,#REF!,#REF!,#REF!,#REF!,#REF!,#REF!,#REF!,H122,#REF!,H123,#REF!,H124,H126,#REF!,#REF!,#REF!,H191,H237,H262,H291)</f>
        <v>#REF!</v>
      </c>
    </row>
    <row r="426" spans="1:8" ht="15" hidden="1">
      <c r="A426" s="185"/>
      <c r="B426" s="185"/>
      <c r="C426" s="185"/>
      <c r="D426" s="185"/>
      <c r="E426" s="186"/>
      <c r="F426" s="186"/>
      <c r="G426" s="186"/>
      <c r="H426" s="186"/>
    </row>
    <row r="427" spans="1:8" ht="15" hidden="1">
      <c r="A427" s="185"/>
      <c r="B427" s="185"/>
      <c r="C427" s="185"/>
      <c r="D427" s="185"/>
      <c r="E427" s="186"/>
      <c r="F427" s="186"/>
      <c r="G427" s="186"/>
      <c r="H427" s="186"/>
    </row>
    <row r="428" spans="1:8" ht="15" hidden="1">
      <c r="A428" s="185"/>
      <c r="B428" s="185"/>
      <c r="C428" s="185"/>
      <c r="D428" s="185"/>
      <c r="E428" s="186">
        <f>SUM(E312,E315,E322,E338,E341)</f>
        <v>12871</v>
      </c>
      <c r="F428" s="186">
        <f>SUM(F312,F315,F322,F338,F341)</f>
        <v>12871</v>
      </c>
      <c r="G428" s="186">
        <f>SUM(G312,G315,G322,G338,G341)</f>
        <v>4934.6</v>
      </c>
      <c r="H428" s="186" t="e">
        <f>SUM(H312,H315,H322,H338,H341)</f>
        <v>#DIV/0!</v>
      </c>
    </row>
    <row r="429" spans="1:8" ht="15" hidden="1">
      <c r="A429" s="185"/>
      <c r="B429" s="185"/>
      <c r="C429" s="185"/>
      <c r="D429" s="185"/>
      <c r="E429" s="186" t="e">
        <f>SUM(#REF!,#REF!,E105,#REF!,#REF!,#REF!,#REF!,#REF!,#REF!,E262)</f>
        <v>#REF!</v>
      </c>
      <c r="F429" s="186" t="e">
        <f>SUM(#REF!,#REF!,F105,#REF!,#REF!,#REF!,#REF!,#REF!,#REF!,F262)</f>
        <v>#REF!</v>
      </c>
      <c r="G429" s="186" t="e">
        <f>SUM(#REF!,#REF!,G105,#REF!,#REF!,#REF!,#REF!,#REF!,#REF!,G262)</f>
        <v>#REF!</v>
      </c>
      <c r="H429" s="186" t="e">
        <f>SUM(#REF!,#REF!,H105,#REF!,#REF!,#REF!,#REF!,#REF!,#REF!,H262)</f>
        <v>#REF!</v>
      </c>
    </row>
    <row r="430" spans="1:8" ht="15" hidden="1">
      <c r="A430" s="185"/>
      <c r="B430" s="185"/>
      <c r="C430" s="185"/>
      <c r="D430" s="185"/>
      <c r="E430" s="186"/>
      <c r="F430" s="186"/>
      <c r="G430" s="186"/>
      <c r="H430" s="186"/>
    </row>
    <row r="431" spans="1:8" ht="15" hidden="1">
      <c r="A431" s="185"/>
      <c r="B431" s="185"/>
      <c r="C431" s="185"/>
      <c r="D431" s="185"/>
      <c r="E431" s="186" t="e">
        <f>SUM(E428:E430)</f>
        <v>#REF!</v>
      </c>
      <c r="F431" s="186" t="e">
        <f>SUM(F428:F430)</f>
        <v>#REF!</v>
      </c>
      <c r="G431" s="186" t="e">
        <f>SUM(G428:G430)</f>
        <v>#REF!</v>
      </c>
      <c r="H431" s="186" t="e">
        <f>SUM(H428:H430)</f>
        <v>#DIV/0!</v>
      </c>
    </row>
    <row r="432" spans="1:8" ht="15">
      <c r="A432" s="185"/>
      <c r="B432" s="185"/>
      <c r="C432" s="185" t="s">
        <v>498</v>
      </c>
      <c r="D432" s="185"/>
      <c r="E432" s="186"/>
      <c r="F432" s="186"/>
      <c r="G432" s="186"/>
      <c r="H432" s="186"/>
    </row>
    <row r="433" spans="1:8" ht="15">
      <c r="A433" s="185"/>
      <c r="B433" s="185"/>
      <c r="C433" s="185"/>
      <c r="D433" s="185"/>
      <c r="E433" s="186"/>
      <c r="F433" s="186"/>
      <c r="G433" s="186"/>
      <c r="H433" s="186"/>
    </row>
    <row r="434" spans="1:8" ht="15">
      <c r="A434" s="185"/>
      <c r="B434" s="185"/>
      <c r="C434" s="185"/>
      <c r="D434" s="185"/>
      <c r="E434" s="186"/>
      <c r="F434" s="186"/>
      <c r="G434" s="186"/>
      <c r="H434" s="186"/>
    </row>
    <row r="435" spans="1:8" ht="15">
      <c r="A435" s="185"/>
      <c r="B435" s="185"/>
      <c r="C435" s="185"/>
      <c r="D435" s="185"/>
      <c r="E435" s="186"/>
      <c r="F435" s="186"/>
      <c r="G435" s="186"/>
      <c r="H435" s="186"/>
    </row>
    <row r="436" spans="1:8" ht="15">
      <c r="A436" s="185"/>
      <c r="B436" s="185"/>
      <c r="C436" s="185"/>
      <c r="D436" s="185"/>
      <c r="E436" s="186"/>
      <c r="F436" s="186"/>
      <c r="G436" s="186"/>
      <c r="H436" s="186"/>
    </row>
    <row r="437" spans="1:8" ht="15">
      <c r="A437" s="185"/>
      <c r="B437" s="185"/>
      <c r="C437" s="185"/>
      <c r="D437" s="185"/>
      <c r="E437" s="186"/>
      <c r="F437" s="186"/>
      <c r="G437" s="186"/>
      <c r="H437" s="186"/>
    </row>
    <row r="438" spans="1:8" ht="15">
      <c r="A438" s="185"/>
      <c r="B438" s="185"/>
      <c r="C438" s="185"/>
      <c r="D438" s="185"/>
      <c r="E438" s="186"/>
      <c r="F438" s="186"/>
      <c r="G438" s="186"/>
      <c r="H438" s="186"/>
    </row>
    <row r="439" spans="1:8" ht="15">
      <c r="A439" s="185"/>
      <c r="B439" s="185"/>
      <c r="C439" s="185"/>
      <c r="D439" s="185"/>
      <c r="E439" s="186"/>
      <c r="F439" s="186"/>
      <c r="G439" s="186"/>
      <c r="H439" s="186"/>
    </row>
    <row r="440" spans="1:8" ht="15">
      <c r="A440" s="185"/>
      <c r="B440" s="185"/>
      <c r="C440" s="185"/>
      <c r="D440" s="185"/>
      <c r="E440" s="186"/>
      <c r="F440" s="186"/>
      <c r="G440" s="186"/>
      <c r="H440" s="186"/>
    </row>
    <row r="441" spans="1:8" ht="15">
      <c r="A441" s="185"/>
      <c r="B441" s="185"/>
      <c r="C441" s="185"/>
      <c r="D441" s="185"/>
      <c r="E441" s="186"/>
      <c r="F441" s="186"/>
      <c r="G441" s="186"/>
      <c r="H441" s="186"/>
    </row>
    <row r="442" spans="1:8" ht="15">
      <c r="A442" s="185"/>
      <c r="B442" s="185"/>
      <c r="C442" s="185"/>
      <c r="D442" s="185"/>
      <c r="E442" s="186"/>
      <c r="F442" s="186"/>
      <c r="G442" s="186"/>
      <c r="H442" s="186"/>
    </row>
    <row r="443" spans="1:8" ht="15">
      <c r="A443" s="185"/>
      <c r="B443" s="185"/>
      <c r="C443" s="185"/>
      <c r="D443" s="185"/>
      <c r="E443" s="186"/>
      <c r="F443" s="186"/>
      <c r="G443" s="186"/>
      <c r="H443" s="186"/>
    </row>
    <row r="444" spans="1:8" ht="15">
      <c r="A444" s="185"/>
      <c r="B444" s="185"/>
      <c r="C444" s="185"/>
      <c r="D444" s="185"/>
      <c r="E444" s="186"/>
      <c r="F444" s="186"/>
      <c r="G444" s="186"/>
      <c r="H444" s="186"/>
    </row>
    <row r="445" spans="1:8" ht="15">
      <c r="A445" s="185"/>
      <c r="B445" s="185"/>
      <c r="C445" s="185"/>
      <c r="D445" s="185"/>
      <c r="E445" s="186"/>
      <c r="F445" s="186"/>
      <c r="G445" s="186"/>
      <c r="H445" s="186"/>
    </row>
    <row r="446" spans="1:8" ht="15">
      <c r="A446" s="185"/>
      <c r="B446" s="185"/>
      <c r="C446" s="185"/>
      <c r="D446" s="185"/>
      <c r="E446" s="186"/>
      <c r="F446" s="186"/>
      <c r="G446" s="186"/>
      <c r="H446" s="186"/>
    </row>
    <row r="447" spans="1:8" ht="15">
      <c r="A447" s="185"/>
      <c r="B447" s="185"/>
      <c r="C447" s="185"/>
      <c r="D447" s="185"/>
      <c r="E447" s="186"/>
      <c r="F447" s="186"/>
      <c r="G447" s="186"/>
      <c r="H447" s="186"/>
    </row>
    <row r="448" spans="1:8" ht="15">
      <c r="A448" s="185"/>
      <c r="B448" s="185"/>
      <c r="C448" s="185"/>
      <c r="D448" s="185"/>
      <c r="E448" s="186"/>
      <c r="F448" s="186"/>
      <c r="G448" s="186"/>
      <c r="H448" s="186"/>
    </row>
    <row r="449" spans="1:8" ht="15">
      <c r="A449" s="185"/>
      <c r="B449" s="185"/>
      <c r="C449" s="185"/>
      <c r="D449" s="185"/>
      <c r="E449" s="186"/>
      <c r="F449" s="186"/>
      <c r="G449" s="186"/>
      <c r="H449" s="186"/>
    </row>
    <row r="450" spans="1:8" ht="15">
      <c r="A450" s="185"/>
      <c r="B450" s="185"/>
      <c r="C450" s="185"/>
      <c r="D450" s="185"/>
      <c r="E450" s="186"/>
      <c r="F450" s="186"/>
      <c r="G450" s="186"/>
      <c r="H450" s="186"/>
    </row>
    <row r="451" spans="1:8" ht="15">
      <c r="A451" s="185"/>
      <c r="B451" s="185"/>
      <c r="C451" s="185"/>
      <c r="D451" s="185"/>
      <c r="E451" s="186"/>
      <c r="F451" s="186"/>
      <c r="G451" s="186"/>
      <c r="H451" s="186"/>
    </row>
    <row r="452" spans="1:8" ht="15">
      <c r="A452" s="185"/>
      <c r="B452" s="185"/>
      <c r="C452" s="185"/>
      <c r="D452" s="185"/>
      <c r="E452" s="186"/>
      <c r="F452" s="186"/>
      <c r="G452" s="186"/>
      <c r="H452" s="186"/>
    </row>
    <row r="453" spans="1:8" ht="15">
      <c r="A453" s="185"/>
      <c r="B453" s="185"/>
      <c r="C453" s="185"/>
      <c r="D453" s="185"/>
      <c r="E453" s="186"/>
      <c r="F453" s="186"/>
      <c r="G453" s="186"/>
      <c r="H453" s="186"/>
    </row>
    <row r="454" spans="1:8" ht="15">
      <c r="A454" s="185"/>
      <c r="B454" s="185"/>
      <c r="C454" s="185"/>
      <c r="D454" s="185"/>
      <c r="E454" s="186"/>
      <c r="F454" s="186"/>
      <c r="G454" s="186"/>
      <c r="H454" s="186"/>
    </row>
    <row r="455" spans="1:8" ht="15">
      <c r="A455" s="185"/>
      <c r="B455" s="185"/>
      <c r="C455" s="185"/>
      <c r="D455" s="185"/>
      <c r="E455" s="186"/>
      <c r="F455" s="186"/>
      <c r="G455" s="186"/>
      <c r="H455" s="186"/>
    </row>
    <row r="456" spans="1:8" ht="15">
      <c r="A456" s="185"/>
      <c r="B456" s="185"/>
      <c r="C456" s="185"/>
      <c r="D456" s="185"/>
      <c r="E456" s="186"/>
      <c r="F456" s="186"/>
      <c r="G456" s="186"/>
      <c r="H456" s="186"/>
    </row>
    <row r="457" spans="1:8" ht="15">
      <c r="A457" s="185"/>
      <c r="B457" s="185"/>
      <c r="C457" s="185"/>
      <c r="D457" s="185"/>
      <c r="E457" s="186"/>
      <c r="F457" s="186"/>
      <c r="G457" s="186"/>
      <c r="H457" s="186"/>
    </row>
    <row r="458" spans="1:8" ht="15">
      <c r="A458" s="185"/>
      <c r="B458" s="185"/>
      <c r="C458" s="185"/>
      <c r="D458" s="185"/>
      <c r="E458" s="186"/>
      <c r="F458" s="186"/>
      <c r="G458" s="186"/>
      <c r="H458" s="186"/>
    </row>
    <row r="459" spans="1:8" ht="15">
      <c r="A459" s="185"/>
      <c r="B459" s="185"/>
      <c r="C459" s="185"/>
      <c r="D459" s="185"/>
      <c r="E459" s="186"/>
      <c r="F459" s="186"/>
      <c r="G459" s="186"/>
      <c r="H459" s="186"/>
    </row>
    <row r="460" spans="1:8" ht="15">
      <c r="A460" s="185"/>
      <c r="B460" s="185"/>
      <c r="C460" s="185"/>
      <c r="D460" s="185"/>
      <c r="E460" s="186"/>
      <c r="F460" s="186"/>
      <c r="G460" s="186"/>
      <c r="H460" s="186"/>
    </row>
    <row r="461" spans="1:8" ht="15">
      <c r="A461" s="185"/>
      <c r="B461" s="185"/>
      <c r="C461" s="185"/>
      <c r="D461" s="185"/>
      <c r="E461" s="186"/>
      <c r="F461" s="186"/>
      <c r="G461" s="186"/>
      <c r="H461" s="186"/>
    </row>
    <row r="462" spans="1:8" ht="15">
      <c r="A462" s="185"/>
      <c r="B462" s="185"/>
      <c r="C462" s="185"/>
      <c r="D462" s="185"/>
      <c r="E462" s="186"/>
      <c r="F462" s="186"/>
      <c r="G462" s="186"/>
      <c r="H462" s="186"/>
    </row>
    <row r="463" spans="1:8" ht="15">
      <c r="A463" s="185"/>
      <c r="B463" s="185"/>
      <c r="C463" s="185"/>
      <c r="D463" s="185"/>
      <c r="E463" s="186"/>
      <c r="F463" s="186"/>
      <c r="G463" s="186"/>
      <c r="H463" s="186"/>
    </row>
    <row r="464" spans="1:8" ht="15">
      <c r="A464" s="185"/>
      <c r="B464" s="185"/>
      <c r="C464" s="185"/>
      <c r="D464" s="185"/>
      <c r="E464" s="186"/>
      <c r="F464" s="186"/>
      <c r="G464" s="186"/>
      <c r="H464" s="186"/>
    </row>
    <row r="465" spans="1:8" ht="15">
      <c r="A465" s="185"/>
      <c r="B465" s="185"/>
      <c r="C465" s="185"/>
      <c r="D465" s="185"/>
      <c r="E465" s="186"/>
      <c r="F465" s="186"/>
      <c r="G465" s="186"/>
      <c r="H465" s="186"/>
    </row>
    <row r="466" spans="1:8" ht="15">
      <c r="A466" s="185"/>
      <c r="B466" s="185"/>
      <c r="C466" s="185"/>
      <c r="D466" s="185"/>
      <c r="E466" s="186"/>
      <c r="F466" s="186"/>
      <c r="G466" s="186"/>
      <c r="H466" s="186"/>
    </row>
    <row r="467" spans="1:8" ht="15">
      <c r="A467" s="185"/>
      <c r="B467" s="185"/>
      <c r="C467" s="185"/>
      <c r="D467" s="185"/>
      <c r="E467" s="186"/>
      <c r="F467" s="186"/>
      <c r="G467" s="186"/>
      <c r="H467" s="186"/>
    </row>
  </sheetData>
  <sheetProtection/>
  <mergeCells count="2">
    <mergeCell ref="A1:C1"/>
    <mergeCell ref="A3:E3"/>
  </mergeCells>
  <printOptions/>
  <pageMargins left="0.6299212598425197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9"/>
  <sheetViews>
    <sheetView zoomScale="80" zoomScaleNormal="80" zoomScaleSheetLayoutView="100" zoomScalePageLayoutView="0" workbookViewId="0" topLeftCell="A1">
      <selection activeCell="F226" sqref="F226"/>
    </sheetView>
  </sheetViews>
  <sheetFormatPr defaultColWidth="9.140625" defaultRowHeight="12.75"/>
  <cols>
    <col min="1" max="1" width="13.7109375" style="195" customWidth="1"/>
    <col min="2" max="2" width="10.8515625" style="195" bestFit="1" customWidth="1"/>
    <col min="3" max="3" width="79.7109375" style="195" customWidth="1"/>
    <col min="4" max="4" width="15.7109375" style="195" customWidth="1"/>
    <col min="5" max="6" width="15.8515625" style="195" customWidth="1"/>
    <col min="7" max="7" width="13.28125" style="195" customWidth="1"/>
    <col min="8" max="16384" width="9.140625" style="195" customWidth="1"/>
  </cols>
  <sheetData>
    <row r="1" spans="1:7" ht="21" customHeight="1">
      <c r="A1" s="44" t="s">
        <v>310</v>
      </c>
      <c r="B1" s="45"/>
      <c r="C1" s="192"/>
      <c r="D1" s="193"/>
      <c r="E1" s="194"/>
      <c r="F1" s="194"/>
      <c r="G1" s="194"/>
    </row>
    <row r="2" spans="1:5" ht="15.75" customHeight="1">
      <c r="A2" s="44"/>
      <c r="B2" s="45"/>
      <c r="C2" s="196"/>
      <c r="E2" s="197"/>
    </row>
    <row r="3" spans="1:7" s="202" customFormat="1" ht="24" customHeight="1">
      <c r="A3" s="198" t="s">
        <v>311</v>
      </c>
      <c r="B3" s="198"/>
      <c r="C3" s="198"/>
      <c r="D3" s="199"/>
      <c r="E3" s="200"/>
      <c r="F3" s="201"/>
      <c r="G3" s="201"/>
    </row>
    <row r="4" spans="4:7" s="185" customFormat="1" ht="15.75" customHeight="1" thickBot="1">
      <c r="D4" s="203"/>
      <c r="E4" s="204"/>
      <c r="F4" s="201" t="s">
        <v>4</v>
      </c>
      <c r="G4" s="203"/>
    </row>
    <row r="5" spans="1:7" s="185" customFormat="1" ht="15.75" customHeight="1">
      <c r="A5" s="205" t="s">
        <v>25</v>
      </c>
      <c r="B5" s="206" t="s">
        <v>26</v>
      </c>
      <c r="C5" s="205" t="s">
        <v>28</v>
      </c>
      <c r="D5" s="205" t="s">
        <v>29</v>
      </c>
      <c r="E5" s="205" t="s">
        <v>29</v>
      </c>
      <c r="F5" s="53" t="s">
        <v>8</v>
      </c>
      <c r="G5" s="205" t="s">
        <v>312</v>
      </c>
    </row>
    <row r="6" spans="1:7" s="185" customFormat="1" ht="15.75" customHeight="1" thickBot="1">
      <c r="A6" s="207"/>
      <c r="B6" s="208"/>
      <c r="C6" s="209"/>
      <c r="D6" s="210" t="s">
        <v>31</v>
      </c>
      <c r="E6" s="210" t="s">
        <v>32</v>
      </c>
      <c r="F6" s="57" t="s">
        <v>33</v>
      </c>
      <c r="G6" s="210" t="s">
        <v>313</v>
      </c>
    </row>
    <row r="7" spans="1:7" s="185" customFormat="1" ht="16.5" customHeight="1" thickTop="1">
      <c r="A7" s="211">
        <v>10</v>
      </c>
      <c r="B7" s="212"/>
      <c r="C7" s="213" t="s">
        <v>314</v>
      </c>
      <c r="D7" s="214"/>
      <c r="E7" s="215"/>
      <c r="F7" s="216"/>
      <c r="G7" s="214"/>
    </row>
    <row r="8" spans="1:7" s="185" customFormat="1" ht="15" customHeight="1">
      <c r="A8" s="139"/>
      <c r="B8" s="217"/>
      <c r="C8" s="139"/>
      <c r="D8" s="143"/>
      <c r="E8" s="144"/>
      <c r="F8" s="142"/>
      <c r="G8" s="143"/>
    </row>
    <row r="9" spans="1:7" s="185" customFormat="1" ht="15" customHeight="1">
      <c r="A9" s="139"/>
      <c r="B9" s="218">
        <v>2143</v>
      </c>
      <c r="C9" s="87" t="s">
        <v>315</v>
      </c>
      <c r="D9" s="143">
        <v>4000</v>
      </c>
      <c r="E9" s="144">
        <v>3929.3</v>
      </c>
      <c r="F9" s="142">
        <v>2535.9</v>
      </c>
      <c r="G9" s="143">
        <f>(F9/E9)*100</f>
        <v>64.53821291324154</v>
      </c>
    </row>
    <row r="10" spans="1:7" s="185" customFormat="1" ht="15">
      <c r="A10" s="87"/>
      <c r="B10" s="218">
        <v>3111</v>
      </c>
      <c r="C10" s="87" t="s">
        <v>316</v>
      </c>
      <c r="D10" s="219">
        <v>8600</v>
      </c>
      <c r="E10" s="220">
        <v>8757.2</v>
      </c>
      <c r="F10" s="221">
        <v>7197.1</v>
      </c>
      <c r="G10" s="143">
        <f aca="true" t="shared" si="0" ref="G10:G32">(F10/E10)*100</f>
        <v>82.18494495957613</v>
      </c>
    </row>
    <row r="11" spans="1:7" s="185" customFormat="1" ht="15">
      <c r="A11" s="87"/>
      <c r="B11" s="218">
        <v>3113</v>
      </c>
      <c r="C11" s="87" t="s">
        <v>317</v>
      </c>
      <c r="D11" s="219">
        <v>30300</v>
      </c>
      <c r="E11" s="220">
        <v>32425.8</v>
      </c>
      <c r="F11" s="221">
        <v>27379.3</v>
      </c>
      <c r="G11" s="143">
        <f t="shared" si="0"/>
        <v>84.43677565395457</v>
      </c>
    </row>
    <row r="12" spans="1:7" s="185" customFormat="1" ht="15" hidden="1">
      <c r="A12" s="87"/>
      <c r="B12" s="218">
        <v>3114</v>
      </c>
      <c r="C12" s="87" t="s">
        <v>318</v>
      </c>
      <c r="D12" s="219"/>
      <c r="E12" s="220"/>
      <c r="F12" s="221"/>
      <c r="G12" s="143" t="e">
        <f t="shared" si="0"/>
        <v>#DIV/0!</v>
      </c>
    </row>
    <row r="13" spans="1:7" s="185" customFormat="1" ht="15">
      <c r="A13" s="87"/>
      <c r="B13" s="218">
        <v>3122</v>
      </c>
      <c r="C13" s="87" t="s">
        <v>319</v>
      </c>
      <c r="D13" s="219">
        <v>350</v>
      </c>
      <c r="E13" s="220">
        <v>350</v>
      </c>
      <c r="F13" s="221">
        <v>350</v>
      </c>
      <c r="G13" s="143">
        <f t="shared" si="0"/>
        <v>100</v>
      </c>
    </row>
    <row r="14" spans="1:7" s="185" customFormat="1" ht="15">
      <c r="A14" s="87"/>
      <c r="B14" s="218">
        <v>3231</v>
      </c>
      <c r="C14" s="87" t="s">
        <v>320</v>
      </c>
      <c r="D14" s="219">
        <v>780</v>
      </c>
      <c r="E14" s="220">
        <v>505</v>
      </c>
      <c r="F14" s="221">
        <v>454</v>
      </c>
      <c r="G14" s="143">
        <f t="shared" si="0"/>
        <v>89.9009900990099</v>
      </c>
    </row>
    <row r="15" spans="1:7" s="185" customFormat="1" ht="15">
      <c r="A15" s="87"/>
      <c r="B15" s="218">
        <v>3313</v>
      </c>
      <c r="C15" s="87" t="s">
        <v>321</v>
      </c>
      <c r="D15" s="143">
        <v>1460</v>
      </c>
      <c r="E15" s="144">
        <v>1464</v>
      </c>
      <c r="F15" s="142">
        <v>1295</v>
      </c>
      <c r="G15" s="143">
        <f t="shared" si="0"/>
        <v>88.45628415300546</v>
      </c>
    </row>
    <row r="16" spans="1:7" s="185" customFormat="1" ht="15" customHeight="1" hidden="1">
      <c r="A16" s="87"/>
      <c r="B16" s="218">
        <v>3314</v>
      </c>
      <c r="C16" s="87" t="s">
        <v>322</v>
      </c>
      <c r="D16" s="143"/>
      <c r="E16" s="144"/>
      <c r="F16" s="142"/>
      <c r="G16" s="143" t="e">
        <f t="shared" si="0"/>
        <v>#DIV/0!</v>
      </c>
    </row>
    <row r="17" spans="1:7" s="185" customFormat="1" ht="15">
      <c r="A17" s="87"/>
      <c r="B17" s="218">
        <v>3314</v>
      </c>
      <c r="C17" s="87" t="s">
        <v>323</v>
      </c>
      <c r="D17" s="143">
        <v>7040</v>
      </c>
      <c r="E17" s="144">
        <v>7083</v>
      </c>
      <c r="F17" s="142">
        <v>5903</v>
      </c>
      <c r="G17" s="143">
        <f t="shared" si="0"/>
        <v>83.34039248905832</v>
      </c>
    </row>
    <row r="18" spans="1:7" s="185" customFormat="1" ht="13.5" customHeight="1" hidden="1">
      <c r="A18" s="87"/>
      <c r="B18" s="218">
        <v>3315</v>
      </c>
      <c r="C18" s="87" t="s">
        <v>324</v>
      </c>
      <c r="D18" s="143"/>
      <c r="E18" s="144"/>
      <c r="F18" s="142"/>
      <c r="G18" s="143" t="e">
        <f t="shared" si="0"/>
        <v>#DIV/0!</v>
      </c>
    </row>
    <row r="19" spans="1:7" s="185" customFormat="1" ht="15">
      <c r="A19" s="87"/>
      <c r="B19" s="218">
        <v>3315</v>
      </c>
      <c r="C19" s="87" t="s">
        <v>325</v>
      </c>
      <c r="D19" s="143">
        <v>6850</v>
      </c>
      <c r="E19" s="144">
        <v>7038</v>
      </c>
      <c r="F19" s="142">
        <v>5888</v>
      </c>
      <c r="G19" s="143">
        <f t="shared" si="0"/>
        <v>83.66013071895425</v>
      </c>
    </row>
    <row r="20" spans="1:7" s="185" customFormat="1" ht="15">
      <c r="A20" s="87"/>
      <c r="B20" s="218">
        <v>3319</v>
      </c>
      <c r="C20" s="87" t="s">
        <v>326</v>
      </c>
      <c r="D20" s="143">
        <v>620</v>
      </c>
      <c r="E20" s="144">
        <v>745</v>
      </c>
      <c r="F20" s="142">
        <v>536.2</v>
      </c>
      <c r="G20" s="143">
        <f t="shared" si="0"/>
        <v>71.97315436241611</v>
      </c>
    </row>
    <row r="21" spans="1:7" s="185" customFormat="1" ht="15">
      <c r="A21" s="87"/>
      <c r="B21" s="218">
        <v>3322</v>
      </c>
      <c r="C21" s="87" t="s">
        <v>327</v>
      </c>
      <c r="D21" s="143">
        <v>50</v>
      </c>
      <c r="E21" s="144">
        <v>0</v>
      </c>
      <c r="F21" s="142">
        <v>0</v>
      </c>
      <c r="G21" s="143" t="e">
        <f t="shared" si="0"/>
        <v>#DIV/0!</v>
      </c>
    </row>
    <row r="22" spans="1:7" s="185" customFormat="1" ht="15">
      <c r="A22" s="87"/>
      <c r="B22" s="218">
        <v>3326</v>
      </c>
      <c r="C22" s="87" t="s">
        <v>328</v>
      </c>
      <c r="D22" s="143">
        <v>60</v>
      </c>
      <c r="E22" s="144">
        <v>0</v>
      </c>
      <c r="F22" s="142">
        <v>0</v>
      </c>
      <c r="G22" s="143" t="e">
        <f t="shared" si="0"/>
        <v>#DIV/0!</v>
      </c>
    </row>
    <row r="23" spans="1:7" s="185" customFormat="1" ht="15">
      <c r="A23" s="87"/>
      <c r="B23" s="218">
        <v>3330</v>
      </c>
      <c r="C23" s="87" t="s">
        <v>329</v>
      </c>
      <c r="D23" s="143">
        <v>50</v>
      </c>
      <c r="E23" s="144">
        <v>85</v>
      </c>
      <c r="F23" s="142">
        <v>45</v>
      </c>
      <c r="G23" s="143">
        <f t="shared" si="0"/>
        <v>52.94117647058824</v>
      </c>
    </row>
    <row r="24" spans="1:7" s="185" customFormat="1" ht="15">
      <c r="A24" s="87"/>
      <c r="B24" s="218">
        <v>3392</v>
      </c>
      <c r="C24" s="87" t="s">
        <v>330</v>
      </c>
      <c r="D24" s="143">
        <v>800</v>
      </c>
      <c r="E24" s="144">
        <v>837.3</v>
      </c>
      <c r="F24" s="142">
        <v>815</v>
      </c>
      <c r="G24" s="143">
        <f t="shared" si="0"/>
        <v>97.33667741550221</v>
      </c>
    </row>
    <row r="25" spans="1:7" s="185" customFormat="1" ht="15">
      <c r="A25" s="87"/>
      <c r="B25" s="218">
        <v>3399</v>
      </c>
      <c r="C25" s="87" t="s">
        <v>331</v>
      </c>
      <c r="D25" s="143">
        <v>2700</v>
      </c>
      <c r="E25" s="144">
        <v>2844.8</v>
      </c>
      <c r="F25" s="142">
        <v>2563.5</v>
      </c>
      <c r="G25" s="143">
        <f t="shared" si="0"/>
        <v>90.11178290213722</v>
      </c>
    </row>
    <row r="26" spans="1:7" s="185" customFormat="1" ht="15">
      <c r="A26" s="87"/>
      <c r="B26" s="218">
        <v>3412</v>
      </c>
      <c r="C26" s="87" t="s">
        <v>332</v>
      </c>
      <c r="D26" s="143">
        <v>13438</v>
      </c>
      <c r="E26" s="144">
        <v>13845.4</v>
      </c>
      <c r="F26" s="142">
        <v>12339.4</v>
      </c>
      <c r="G26" s="143">
        <f t="shared" si="0"/>
        <v>89.12274112701691</v>
      </c>
    </row>
    <row r="27" spans="1:7" s="185" customFormat="1" ht="15">
      <c r="A27" s="87"/>
      <c r="B27" s="218">
        <v>3412</v>
      </c>
      <c r="C27" s="87" t="s">
        <v>333</v>
      </c>
      <c r="D27" s="143">
        <f>20284-13438</f>
        <v>6846</v>
      </c>
      <c r="E27" s="144">
        <f>19484.9-13845.4</f>
        <v>5639.500000000002</v>
      </c>
      <c r="F27" s="142">
        <f>17455.3-12339.4</f>
        <v>5115.9</v>
      </c>
      <c r="G27" s="143">
        <f t="shared" si="0"/>
        <v>90.71548896178736</v>
      </c>
    </row>
    <row r="28" spans="1:7" s="185" customFormat="1" ht="15">
      <c r="A28" s="87"/>
      <c r="B28" s="218">
        <v>3419</v>
      </c>
      <c r="C28" s="87" t="s">
        <v>334</v>
      </c>
      <c r="D28" s="219">
        <v>2050</v>
      </c>
      <c r="E28" s="220">
        <v>3573</v>
      </c>
      <c r="F28" s="221">
        <v>3572.1</v>
      </c>
      <c r="G28" s="143">
        <f t="shared" si="0"/>
        <v>99.97481108312343</v>
      </c>
    </row>
    <row r="29" spans="1:7" s="185" customFormat="1" ht="15">
      <c r="A29" s="87"/>
      <c r="B29" s="218">
        <v>3421</v>
      </c>
      <c r="C29" s="87" t="s">
        <v>335</v>
      </c>
      <c r="D29" s="219">
        <v>3116</v>
      </c>
      <c r="E29" s="220">
        <v>2852.6</v>
      </c>
      <c r="F29" s="221">
        <v>2845.7</v>
      </c>
      <c r="G29" s="143">
        <f t="shared" si="0"/>
        <v>99.75811540349154</v>
      </c>
    </row>
    <row r="30" spans="1:7" s="185" customFormat="1" ht="15">
      <c r="A30" s="87"/>
      <c r="B30" s="218">
        <v>3429</v>
      </c>
      <c r="C30" s="87" t="s">
        <v>336</v>
      </c>
      <c r="D30" s="219">
        <v>1500</v>
      </c>
      <c r="E30" s="220">
        <v>1416</v>
      </c>
      <c r="F30" s="221">
        <v>1313.3</v>
      </c>
      <c r="G30" s="143">
        <f t="shared" si="0"/>
        <v>92.74717514124293</v>
      </c>
    </row>
    <row r="31" spans="1:7" s="185" customFormat="1" ht="15">
      <c r="A31" s="87"/>
      <c r="B31" s="218">
        <v>6223</v>
      </c>
      <c r="C31" s="87" t="s">
        <v>337</v>
      </c>
      <c r="D31" s="143">
        <v>150</v>
      </c>
      <c r="E31" s="144">
        <v>27.7</v>
      </c>
      <c r="F31" s="142">
        <v>26.5</v>
      </c>
      <c r="G31" s="143">
        <f t="shared" si="0"/>
        <v>95.66787003610109</v>
      </c>
    </row>
    <row r="32" spans="1:7" s="185" customFormat="1" ht="15">
      <c r="A32" s="87"/>
      <c r="B32" s="218">
        <v>6409</v>
      </c>
      <c r="C32" s="87" t="s">
        <v>338</v>
      </c>
      <c r="D32" s="143">
        <v>1000</v>
      </c>
      <c r="E32" s="144">
        <v>445.4</v>
      </c>
      <c r="F32" s="142">
        <v>0</v>
      </c>
      <c r="G32" s="143">
        <f t="shared" si="0"/>
        <v>0</v>
      </c>
    </row>
    <row r="33" spans="1:7" s="185" customFormat="1" ht="14.25" customHeight="1" thickBot="1">
      <c r="A33" s="222"/>
      <c r="B33" s="223"/>
      <c r="C33" s="224"/>
      <c r="D33" s="225"/>
      <c r="E33" s="226"/>
      <c r="F33" s="227"/>
      <c r="G33" s="225"/>
    </row>
    <row r="34" spans="1:7" s="185" customFormat="1" ht="18.75" customHeight="1" thickBot="1" thickTop="1">
      <c r="A34" s="228"/>
      <c r="B34" s="229"/>
      <c r="C34" s="230" t="s">
        <v>339</v>
      </c>
      <c r="D34" s="231">
        <f>SUM(D9:D33)</f>
        <v>91760</v>
      </c>
      <c r="E34" s="232">
        <f>SUM(E9:E33)</f>
        <v>93864</v>
      </c>
      <c r="F34" s="233">
        <f>SUM(F9:F33)</f>
        <v>80174.9</v>
      </c>
      <c r="G34" s="231">
        <f>(F34/E34)*100</f>
        <v>85.41602744396147</v>
      </c>
    </row>
    <row r="35" spans="1:7" s="185" customFormat="1" ht="15.75" customHeight="1">
      <c r="A35" s="184"/>
      <c r="B35" s="187"/>
      <c r="C35" s="234"/>
      <c r="D35" s="235"/>
      <c r="E35" s="235"/>
      <c r="F35" s="235"/>
      <c r="G35" s="235"/>
    </row>
    <row r="36" spans="1:7" s="185" customFormat="1" ht="18.75" customHeight="1" hidden="1">
      <c r="A36" s="184"/>
      <c r="B36" s="187"/>
      <c r="C36" s="234"/>
      <c r="D36" s="235"/>
      <c r="E36" s="235"/>
      <c r="F36" s="235"/>
      <c r="G36" s="235"/>
    </row>
    <row r="37" spans="1:7" s="185" customFormat="1" ht="18.75" customHeight="1" hidden="1">
      <c r="A37" s="184"/>
      <c r="B37" s="187"/>
      <c r="C37" s="234"/>
      <c r="D37" s="235"/>
      <c r="E37" s="235"/>
      <c r="F37" s="235"/>
      <c r="G37" s="235"/>
    </row>
    <row r="38" spans="1:7" s="185" customFormat="1" ht="15.75" customHeight="1" hidden="1">
      <c r="A38" s="184"/>
      <c r="B38" s="187"/>
      <c r="C38" s="234"/>
      <c r="D38" s="235"/>
      <c r="E38" s="235"/>
      <c r="F38" s="235"/>
      <c r="G38" s="235"/>
    </row>
    <row r="39" spans="1:7" s="185" customFormat="1" ht="15.75" customHeight="1" hidden="1">
      <c r="A39" s="184"/>
      <c r="B39" s="187"/>
      <c r="C39" s="234"/>
      <c r="D39" s="236"/>
      <c r="E39" s="236"/>
      <c r="F39" s="236"/>
      <c r="G39" s="236"/>
    </row>
    <row r="40" spans="1:7" s="185" customFormat="1" ht="12.75" customHeight="1" hidden="1">
      <c r="A40" s="184"/>
      <c r="B40" s="187"/>
      <c r="C40" s="234"/>
      <c r="D40" s="236"/>
      <c r="E40" s="236"/>
      <c r="F40" s="236"/>
      <c r="G40" s="236"/>
    </row>
    <row r="41" spans="1:7" s="185" customFormat="1" ht="12.75" customHeight="1" hidden="1">
      <c r="A41" s="184"/>
      <c r="B41" s="187"/>
      <c r="C41" s="234"/>
      <c r="D41" s="236"/>
      <c r="E41" s="236"/>
      <c r="F41" s="236"/>
      <c r="G41" s="236"/>
    </row>
    <row r="42" s="185" customFormat="1" ht="15.75" customHeight="1" thickBot="1">
      <c r="B42" s="237"/>
    </row>
    <row r="43" spans="1:7" s="185" customFormat="1" ht="15.75">
      <c r="A43" s="205" t="s">
        <v>25</v>
      </c>
      <c r="B43" s="206" t="s">
        <v>26</v>
      </c>
      <c r="C43" s="205" t="s">
        <v>28</v>
      </c>
      <c r="D43" s="205" t="s">
        <v>29</v>
      </c>
      <c r="E43" s="205" t="s">
        <v>29</v>
      </c>
      <c r="F43" s="53" t="s">
        <v>8</v>
      </c>
      <c r="G43" s="205" t="s">
        <v>312</v>
      </c>
    </row>
    <row r="44" spans="1:7" s="185" customFormat="1" ht="15.75" customHeight="1" thickBot="1">
      <c r="A44" s="207"/>
      <c r="B44" s="208"/>
      <c r="C44" s="209"/>
      <c r="D44" s="210" t="s">
        <v>31</v>
      </c>
      <c r="E44" s="210" t="s">
        <v>32</v>
      </c>
      <c r="F44" s="57" t="s">
        <v>33</v>
      </c>
      <c r="G44" s="210" t="s">
        <v>313</v>
      </c>
    </row>
    <row r="45" spans="1:7" s="185" customFormat="1" ht="16.5" customHeight="1" thickTop="1">
      <c r="A45" s="211">
        <v>20</v>
      </c>
      <c r="B45" s="212"/>
      <c r="C45" s="59" t="s">
        <v>340</v>
      </c>
      <c r="D45" s="117"/>
      <c r="E45" s="115"/>
      <c r="F45" s="116"/>
      <c r="G45" s="117"/>
    </row>
    <row r="46" spans="1:7" s="185" customFormat="1" ht="15" customHeight="1">
      <c r="A46" s="139"/>
      <c r="B46" s="217"/>
      <c r="C46" s="59"/>
      <c r="D46" s="143"/>
      <c r="E46" s="144"/>
      <c r="F46" s="142"/>
      <c r="G46" s="143"/>
    </row>
    <row r="47" spans="1:7" s="185" customFormat="1" ht="15">
      <c r="A47" s="87"/>
      <c r="B47" s="218">
        <v>2212</v>
      </c>
      <c r="C47" s="145" t="s">
        <v>341</v>
      </c>
      <c r="D47" s="99">
        <f>23284-12267</f>
        <v>11017</v>
      </c>
      <c r="E47" s="65">
        <f>26240.6-3000-11684.6</f>
        <v>11555.999999999998</v>
      </c>
      <c r="F47" s="66">
        <f>11488.4-50-3796.8</f>
        <v>7641.599999999999</v>
      </c>
      <c r="G47" s="143">
        <f aca="true" t="shared" si="1" ref="G47:G110">(F47/E47)*100</f>
        <v>66.12668743509865</v>
      </c>
    </row>
    <row r="48" spans="1:7" s="185" customFormat="1" ht="15" customHeight="1">
      <c r="A48" s="87"/>
      <c r="B48" s="218">
        <v>2219</v>
      </c>
      <c r="C48" s="145" t="s">
        <v>342</v>
      </c>
      <c r="D48" s="99">
        <f>18169-2500-7839</f>
        <v>7830</v>
      </c>
      <c r="E48" s="65">
        <f>39053-2500-23334.1</f>
        <v>13218.900000000001</v>
      </c>
      <c r="F48" s="66">
        <f>10785.1-14-2079.7</f>
        <v>8691.400000000001</v>
      </c>
      <c r="G48" s="143">
        <f t="shared" si="1"/>
        <v>65.7497976382301</v>
      </c>
    </row>
    <row r="49" spans="1:7" s="185" customFormat="1" ht="15">
      <c r="A49" s="87"/>
      <c r="B49" s="218">
        <v>2221</v>
      </c>
      <c r="C49" s="145" t="s">
        <v>343</v>
      </c>
      <c r="D49" s="99">
        <f>65450-65350</f>
        <v>100</v>
      </c>
      <c r="E49" s="65">
        <f>43755.4-43402.4-23.7-225.6</f>
        <v>103.70000000000002</v>
      </c>
      <c r="F49" s="66">
        <f>9852.6-9599.7-23.7-225.6</f>
        <v>3.5999999999996533</v>
      </c>
      <c r="G49" s="143">
        <f t="shared" si="1"/>
        <v>3.4715525554480737</v>
      </c>
    </row>
    <row r="50" spans="1:7" s="185" customFormat="1" ht="15">
      <c r="A50" s="87"/>
      <c r="B50" s="218">
        <v>2229</v>
      </c>
      <c r="C50" s="145" t="s">
        <v>344</v>
      </c>
      <c r="D50" s="99">
        <v>10</v>
      </c>
      <c r="E50" s="65">
        <v>10</v>
      </c>
      <c r="F50" s="66">
        <v>8.2</v>
      </c>
      <c r="G50" s="143">
        <f t="shared" si="1"/>
        <v>82</v>
      </c>
    </row>
    <row r="51" spans="1:7" s="185" customFormat="1" ht="15" hidden="1">
      <c r="A51" s="87"/>
      <c r="B51" s="218">
        <v>2241</v>
      </c>
      <c r="C51" s="145" t="s">
        <v>345</v>
      </c>
      <c r="D51" s="99"/>
      <c r="E51" s="65"/>
      <c r="F51" s="66"/>
      <c r="G51" s="143" t="e">
        <f t="shared" si="1"/>
        <v>#DIV/0!</v>
      </c>
    </row>
    <row r="52" spans="1:7" s="185" customFormat="1" ht="15" hidden="1">
      <c r="A52" s="87"/>
      <c r="B52" s="218">
        <v>2310</v>
      </c>
      <c r="C52" s="145" t="s">
        <v>346</v>
      </c>
      <c r="D52" s="99"/>
      <c r="E52" s="65"/>
      <c r="F52" s="66"/>
      <c r="G52" s="143" t="e">
        <f t="shared" si="1"/>
        <v>#DIV/0!</v>
      </c>
    </row>
    <row r="53" spans="1:7" s="185" customFormat="1" ht="15">
      <c r="A53" s="87"/>
      <c r="B53" s="218">
        <v>2321</v>
      </c>
      <c r="C53" s="145" t="s">
        <v>347</v>
      </c>
      <c r="D53" s="99">
        <v>50</v>
      </c>
      <c r="E53" s="65">
        <v>50</v>
      </c>
      <c r="F53" s="66">
        <v>46.1</v>
      </c>
      <c r="G53" s="143">
        <f t="shared" si="1"/>
        <v>92.2</v>
      </c>
    </row>
    <row r="54" spans="1:7" s="190" customFormat="1" ht="15.75">
      <c r="A54" s="87"/>
      <c r="B54" s="218">
        <v>2331</v>
      </c>
      <c r="C54" s="145" t="s">
        <v>348</v>
      </c>
      <c r="D54" s="143">
        <f>727-727</f>
        <v>0</v>
      </c>
      <c r="E54" s="144">
        <f>657.9-625.8</f>
        <v>32.10000000000002</v>
      </c>
      <c r="F54" s="142">
        <f>610.8-588.4</f>
        <v>22.399999999999977</v>
      </c>
      <c r="G54" s="143">
        <f t="shared" si="1"/>
        <v>69.78193146417433</v>
      </c>
    </row>
    <row r="55" spans="1:7" s="185" customFormat="1" ht="15">
      <c r="A55" s="87"/>
      <c r="B55" s="218">
        <v>3111</v>
      </c>
      <c r="C55" s="238" t="s">
        <v>349</v>
      </c>
      <c r="D55" s="99">
        <f>10321-10321</f>
        <v>0</v>
      </c>
      <c r="E55" s="65">
        <f>16748.1-15317</f>
        <v>1431.0999999999985</v>
      </c>
      <c r="F55" s="62">
        <f>4461.7-3276.7</f>
        <v>1185</v>
      </c>
      <c r="G55" s="143">
        <f t="shared" si="1"/>
        <v>82.80343791489074</v>
      </c>
    </row>
    <row r="56" spans="1:7" s="185" customFormat="1" ht="15">
      <c r="A56" s="87"/>
      <c r="B56" s="218">
        <v>3113</v>
      </c>
      <c r="C56" s="238" t="s">
        <v>350</v>
      </c>
      <c r="D56" s="99">
        <f>11824-11824</f>
        <v>0</v>
      </c>
      <c r="E56" s="65">
        <f>16936.7-14760</f>
        <v>2176.7000000000007</v>
      </c>
      <c r="F56" s="62">
        <f>2240.3-1548.9</f>
        <v>691.4000000000001</v>
      </c>
      <c r="G56" s="143">
        <f t="shared" si="1"/>
        <v>31.763678963568697</v>
      </c>
    </row>
    <row r="57" spans="1:7" s="190" customFormat="1" ht="15.75">
      <c r="A57" s="87"/>
      <c r="B57" s="218">
        <v>3231</v>
      </c>
      <c r="C57" s="145" t="s">
        <v>351</v>
      </c>
      <c r="D57" s="143">
        <v>0</v>
      </c>
      <c r="E57" s="144">
        <v>421.3</v>
      </c>
      <c r="F57" s="142">
        <v>421.1</v>
      </c>
      <c r="G57" s="143">
        <f t="shared" si="1"/>
        <v>99.95252788986471</v>
      </c>
    </row>
    <row r="58" spans="1:7" s="190" customFormat="1" ht="15.75">
      <c r="A58" s="87"/>
      <c r="B58" s="218">
        <v>3313</v>
      </c>
      <c r="C58" s="145" t="s">
        <v>352</v>
      </c>
      <c r="D58" s="143">
        <f>400-400</f>
        <v>0</v>
      </c>
      <c r="E58" s="144">
        <f>465.7-400</f>
        <v>65.69999999999999</v>
      </c>
      <c r="F58" s="142">
        <f>22-0</f>
        <v>22</v>
      </c>
      <c r="G58" s="143">
        <f t="shared" si="1"/>
        <v>33.48554033485541</v>
      </c>
    </row>
    <row r="59" spans="1:7" s="185" customFormat="1" ht="15">
      <c r="A59" s="87"/>
      <c r="B59" s="218">
        <v>3322</v>
      </c>
      <c r="C59" s="238" t="s">
        <v>353</v>
      </c>
      <c r="D59" s="99">
        <v>0</v>
      </c>
      <c r="E59" s="65">
        <v>36.4</v>
      </c>
      <c r="F59" s="66">
        <v>34.2</v>
      </c>
      <c r="G59" s="143">
        <f t="shared" si="1"/>
        <v>93.95604395604397</v>
      </c>
    </row>
    <row r="60" spans="1:7" s="185" customFormat="1" ht="15">
      <c r="A60" s="87"/>
      <c r="B60" s="218">
        <v>3326</v>
      </c>
      <c r="C60" s="238" t="s">
        <v>354</v>
      </c>
      <c r="D60" s="99">
        <v>0</v>
      </c>
      <c r="E60" s="65">
        <v>6.6</v>
      </c>
      <c r="F60" s="66">
        <v>6.5</v>
      </c>
      <c r="G60" s="143">
        <f t="shared" si="1"/>
        <v>98.48484848484848</v>
      </c>
    </row>
    <row r="61" spans="1:7" s="190" customFormat="1" ht="15.75">
      <c r="A61" s="87"/>
      <c r="B61" s="218">
        <v>3392</v>
      </c>
      <c r="C61" s="145" t="s">
        <v>355</v>
      </c>
      <c r="D61" s="143">
        <v>0</v>
      </c>
      <c r="E61" s="144">
        <v>192.8</v>
      </c>
      <c r="F61" s="142">
        <v>172.2</v>
      </c>
      <c r="G61" s="143">
        <f t="shared" si="1"/>
        <v>89.31535269709543</v>
      </c>
    </row>
    <row r="62" spans="1:7" s="185" customFormat="1" ht="15">
      <c r="A62" s="87"/>
      <c r="B62" s="218">
        <v>3412</v>
      </c>
      <c r="C62" s="238" t="s">
        <v>356</v>
      </c>
      <c r="D62" s="99">
        <v>0</v>
      </c>
      <c r="E62" s="65">
        <v>639.8</v>
      </c>
      <c r="F62" s="66">
        <v>127.8</v>
      </c>
      <c r="G62" s="143">
        <f t="shared" si="1"/>
        <v>19.974992185057832</v>
      </c>
    </row>
    <row r="63" spans="1:7" s="185" customFormat="1" ht="15">
      <c r="A63" s="87"/>
      <c r="B63" s="218">
        <v>3421</v>
      </c>
      <c r="C63" s="238" t="s">
        <v>357</v>
      </c>
      <c r="D63" s="99">
        <f>24-0</f>
        <v>24</v>
      </c>
      <c r="E63" s="65">
        <f>1836.7-1716.5</f>
        <v>120.20000000000005</v>
      </c>
      <c r="F63" s="66">
        <f>116.2-0</f>
        <v>116.2</v>
      </c>
      <c r="G63" s="143">
        <f t="shared" si="1"/>
        <v>96.67221297836936</v>
      </c>
    </row>
    <row r="64" spans="1:7" s="185" customFormat="1" ht="15" hidden="1">
      <c r="A64" s="87"/>
      <c r="B64" s="218">
        <v>3612</v>
      </c>
      <c r="C64" s="238" t="s">
        <v>358</v>
      </c>
      <c r="D64" s="99"/>
      <c r="E64" s="65"/>
      <c r="F64" s="66"/>
      <c r="G64" s="143" t="e">
        <f t="shared" si="1"/>
        <v>#DIV/0!</v>
      </c>
    </row>
    <row r="65" spans="1:7" s="185" customFormat="1" ht="15">
      <c r="A65" s="87"/>
      <c r="B65" s="218">
        <v>3613</v>
      </c>
      <c r="C65" s="238" t="s">
        <v>359</v>
      </c>
      <c r="D65" s="99">
        <v>0</v>
      </c>
      <c r="E65" s="65">
        <f>1825.8-1580</f>
        <v>245.79999999999995</v>
      </c>
      <c r="F65" s="66">
        <f>170.7-0</f>
        <v>170.7</v>
      </c>
      <c r="G65" s="143">
        <f t="shared" si="1"/>
        <v>69.44670463791701</v>
      </c>
    </row>
    <row r="66" spans="1:7" s="185" customFormat="1" ht="15">
      <c r="A66" s="87"/>
      <c r="B66" s="218">
        <v>3631</v>
      </c>
      <c r="C66" s="238" t="s">
        <v>360</v>
      </c>
      <c r="D66" s="99">
        <v>7700</v>
      </c>
      <c r="E66" s="65">
        <v>10004.8</v>
      </c>
      <c r="F66" s="66">
        <v>7735.7</v>
      </c>
      <c r="G66" s="143">
        <f t="shared" si="1"/>
        <v>77.31988645450184</v>
      </c>
    </row>
    <row r="67" spans="1:7" s="190" customFormat="1" ht="15.75">
      <c r="A67" s="87"/>
      <c r="B67" s="218">
        <v>3632</v>
      </c>
      <c r="C67" s="145" t="s">
        <v>361</v>
      </c>
      <c r="D67" s="143">
        <f>600-600</f>
        <v>0</v>
      </c>
      <c r="E67" s="144">
        <f>642-600</f>
        <v>42</v>
      </c>
      <c r="F67" s="142">
        <v>0</v>
      </c>
      <c r="G67" s="143">
        <f t="shared" si="1"/>
        <v>0</v>
      </c>
    </row>
    <row r="68" spans="1:7" s="185" customFormat="1" ht="15">
      <c r="A68" s="87"/>
      <c r="B68" s="218">
        <v>3635</v>
      </c>
      <c r="C68" s="238" t="s">
        <v>362</v>
      </c>
      <c r="D68" s="99">
        <f>3375-1405</f>
        <v>1970</v>
      </c>
      <c r="E68" s="65">
        <f>2879.2-1405</f>
        <v>1474.1999999999998</v>
      </c>
      <c r="F68" s="66">
        <f>64.9-0</f>
        <v>64.9</v>
      </c>
      <c r="G68" s="143">
        <f t="shared" si="1"/>
        <v>4.40238773572107</v>
      </c>
    </row>
    <row r="69" spans="1:7" s="190" customFormat="1" ht="15.75">
      <c r="A69" s="87"/>
      <c r="B69" s="218">
        <v>3639</v>
      </c>
      <c r="C69" s="145" t="s">
        <v>363</v>
      </c>
      <c r="D69" s="143">
        <v>216</v>
      </c>
      <c r="E69" s="144">
        <v>252.8</v>
      </c>
      <c r="F69" s="142">
        <v>252.8</v>
      </c>
      <c r="G69" s="143">
        <f t="shared" si="1"/>
        <v>100</v>
      </c>
    </row>
    <row r="70" spans="1:7" s="185" customFormat="1" ht="15">
      <c r="A70" s="87"/>
      <c r="B70" s="218">
        <v>3699</v>
      </c>
      <c r="C70" s="238" t="s">
        <v>364</v>
      </c>
      <c r="D70" s="113">
        <v>50</v>
      </c>
      <c r="E70" s="61">
        <v>149.1</v>
      </c>
      <c r="F70" s="62">
        <v>111.3</v>
      </c>
      <c r="G70" s="143">
        <f t="shared" si="1"/>
        <v>74.64788732394366</v>
      </c>
    </row>
    <row r="71" spans="1:7" s="185" customFormat="1" ht="15">
      <c r="A71" s="87"/>
      <c r="B71" s="218">
        <v>3722</v>
      </c>
      <c r="C71" s="238" t="s">
        <v>365</v>
      </c>
      <c r="D71" s="99">
        <v>21050</v>
      </c>
      <c r="E71" s="65">
        <v>21070</v>
      </c>
      <c r="F71" s="66">
        <v>16900.4</v>
      </c>
      <c r="G71" s="143">
        <f t="shared" si="1"/>
        <v>80.2107261509255</v>
      </c>
    </row>
    <row r="72" spans="1:7" s="190" customFormat="1" ht="15.75">
      <c r="A72" s="87"/>
      <c r="B72" s="218">
        <v>3726</v>
      </c>
      <c r="C72" s="145" t="s">
        <v>366</v>
      </c>
      <c r="D72" s="143">
        <v>0</v>
      </c>
      <c r="E72" s="144">
        <f>2033.5-2014.5</f>
        <v>19</v>
      </c>
      <c r="F72" s="142">
        <f>39.9-39.9</f>
        <v>0</v>
      </c>
      <c r="G72" s="143">
        <f t="shared" si="1"/>
        <v>0</v>
      </c>
    </row>
    <row r="73" spans="1:7" s="190" customFormat="1" ht="15.75">
      <c r="A73" s="87"/>
      <c r="B73" s="218">
        <v>3733</v>
      </c>
      <c r="C73" s="145" t="s">
        <v>367</v>
      </c>
      <c r="D73" s="143">
        <v>0</v>
      </c>
      <c r="E73" s="144">
        <v>30.8</v>
      </c>
      <c r="F73" s="142">
        <v>30.8</v>
      </c>
      <c r="G73" s="143">
        <f t="shared" si="1"/>
        <v>100</v>
      </c>
    </row>
    <row r="74" spans="1:7" s="190" customFormat="1" ht="15.75">
      <c r="A74" s="87"/>
      <c r="B74" s="218">
        <v>3745</v>
      </c>
      <c r="C74" s="145" t="s">
        <v>368</v>
      </c>
      <c r="D74" s="239">
        <v>19109</v>
      </c>
      <c r="E74" s="144">
        <f>24239.3-1114.4-285-237.9-100.9-58.7</f>
        <v>22442.399999999994</v>
      </c>
      <c r="F74" s="142">
        <f>16407.1-5.4-0-0-0-58.7</f>
        <v>16342.999999999996</v>
      </c>
      <c r="G74" s="143">
        <f t="shared" si="1"/>
        <v>72.82197982390475</v>
      </c>
    </row>
    <row r="75" spans="1:7" s="190" customFormat="1" ht="15.75">
      <c r="A75" s="87"/>
      <c r="B75" s="218">
        <v>4349</v>
      </c>
      <c r="C75" s="145" t="s">
        <v>369</v>
      </c>
      <c r="D75" s="113">
        <v>0</v>
      </c>
      <c r="E75" s="61">
        <f>1731.7-400-116.9-497</f>
        <v>717.8</v>
      </c>
      <c r="F75" s="62">
        <f>1005.9-367.4-116.9-47</f>
        <v>474.6</v>
      </c>
      <c r="G75" s="143">
        <f t="shared" si="1"/>
        <v>66.11869601560323</v>
      </c>
    </row>
    <row r="76" spans="1:7" s="190" customFormat="1" ht="15.75">
      <c r="A76" s="91"/>
      <c r="B76" s="218">
        <v>4357</v>
      </c>
      <c r="C76" s="238" t="s">
        <v>370</v>
      </c>
      <c r="D76" s="113">
        <f>500-500</f>
        <v>0</v>
      </c>
      <c r="E76" s="61">
        <f>1373.2-500-840</f>
        <v>33.200000000000045</v>
      </c>
      <c r="F76" s="66">
        <f>1332.5-492.5-840</f>
        <v>0</v>
      </c>
      <c r="G76" s="143">
        <f t="shared" si="1"/>
        <v>0</v>
      </c>
    </row>
    <row r="77" spans="1:7" s="185" customFormat="1" ht="15" hidden="1">
      <c r="A77" s="91"/>
      <c r="B77" s="218">
        <v>5212</v>
      </c>
      <c r="C77" s="238" t="s">
        <v>371</v>
      </c>
      <c r="D77" s="113"/>
      <c r="E77" s="61"/>
      <c r="F77" s="66"/>
      <c r="G77" s="143" t="e">
        <f t="shared" si="1"/>
        <v>#DIV/0!</v>
      </c>
    </row>
    <row r="78" spans="1:7" s="185" customFormat="1" ht="15" hidden="1">
      <c r="A78" s="91"/>
      <c r="B78" s="218">
        <v>6223</v>
      </c>
      <c r="C78" s="238" t="s">
        <v>372</v>
      </c>
      <c r="D78" s="113"/>
      <c r="E78" s="61"/>
      <c r="F78" s="62"/>
      <c r="G78" s="143" t="e">
        <f t="shared" si="1"/>
        <v>#DIV/0!</v>
      </c>
    </row>
    <row r="79" spans="1:7" s="185" customFormat="1" ht="15">
      <c r="A79" s="91"/>
      <c r="B79" s="218">
        <v>6171</v>
      </c>
      <c r="C79" s="238" t="s">
        <v>373</v>
      </c>
      <c r="D79" s="113">
        <f>2700-2700</f>
        <v>0</v>
      </c>
      <c r="E79" s="61">
        <f>2436-2236.9</f>
        <v>199.0999999999999</v>
      </c>
      <c r="F79" s="62">
        <f>2342.8-2236.9</f>
        <v>105.90000000000009</v>
      </c>
      <c r="G79" s="143">
        <f t="shared" si="1"/>
        <v>53.189352084379784</v>
      </c>
    </row>
    <row r="80" spans="1:7" s="185" customFormat="1" ht="15">
      <c r="A80" s="91">
        <v>6409</v>
      </c>
      <c r="B80" s="218">
        <v>6409</v>
      </c>
      <c r="C80" s="238" t="s">
        <v>374</v>
      </c>
      <c r="D80" s="113">
        <v>2400</v>
      </c>
      <c r="E80" s="61">
        <v>213.9</v>
      </c>
      <c r="F80" s="62">
        <v>0</v>
      </c>
      <c r="G80" s="143">
        <f t="shared" si="1"/>
        <v>0</v>
      </c>
    </row>
    <row r="81" spans="1:7" s="190" customFormat="1" ht="15.75">
      <c r="A81" s="87"/>
      <c r="B81" s="218">
        <v>3315</v>
      </c>
      <c r="C81" s="145" t="s">
        <v>375</v>
      </c>
      <c r="D81" s="143">
        <v>0</v>
      </c>
      <c r="E81" s="144">
        <v>0</v>
      </c>
      <c r="F81" s="142">
        <v>0</v>
      </c>
      <c r="G81" s="143" t="e">
        <f t="shared" si="1"/>
        <v>#DIV/0!</v>
      </c>
    </row>
    <row r="82" spans="1:7" s="190" customFormat="1" ht="15.75">
      <c r="A82" s="213"/>
      <c r="B82" s="217"/>
      <c r="C82" s="240" t="s">
        <v>376</v>
      </c>
      <c r="D82" s="241">
        <f>SUM(D47:D81)</f>
        <v>71526</v>
      </c>
      <c r="E82" s="242">
        <f>SUM(E47:E81)</f>
        <v>86956.19999999998</v>
      </c>
      <c r="F82" s="243">
        <f>SUM(F47:F81)</f>
        <v>61379.8</v>
      </c>
      <c r="G82" s="143">
        <f t="shared" si="1"/>
        <v>70.58703117201536</v>
      </c>
    </row>
    <row r="83" spans="1:7" s="190" customFormat="1" ht="14.25" customHeight="1">
      <c r="A83" s="87"/>
      <c r="B83" s="218"/>
      <c r="C83" s="145"/>
      <c r="D83" s="244"/>
      <c r="E83" s="245"/>
      <c r="F83" s="246"/>
      <c r="G83" s="143"/>
    </row>
    <row r="84" spans="1:7" s="190" customFormat="1" ht="15.75">
      <c r="A84" s="87">
        <v>1028000000</v>
      </c>
      <c r="B84" s="218">
        <v>2212</v>
      </c>
      <c r="C84" s="247" t="s">
        <v>377</v>
      </c>
      <c r="D84" s="143">
        <v>6500</v>
      </c>
      <c r="E84" s="144">
        <v>5887.2</v>
      </c>
      <c r="F84" s="142">
        <v>1694.5</v>
      </c>
      <c r="G84" s="143">
        <f t="shared" si="1"/>
        <v>28.782782986818862</v>
      </c>
    </row>
    <row r="85" spans="1:7" s="190" customFormat="1" ht="15.75">
      <c r="A85" s="87">
        <v>1042000000</v>
      </c>
      <c r="B85" s="218">
        <v>2212</v>
      </c>
      <c r="C85" s="145" t="s">
        <v>378</v>
      </c>
      <c r="D85" s="143">
        <v>5767</v>
      </c>
      <c r="E85" s="144">
        <v>3203.4</v>
      </c>
      <c r="F85" s="142">
        <v>1173</v>
      </c>
      <c r="G85" s="143">
        <f t="shared" si="1"/>
        <v>36.61734407192358</v>
      </c>
    </row>
    <row r="86" spans="1:7" s="190" customFormat="1" ht="15.75" hidden="1">
      <c r="A86" s="87"/>
      <c r="B86" s="218"/>
      <c r="C86" s="247"/>
      <c r="D86" s="143"/>
      <c r="E86" s="144"/>
      <c r="F86" s="142"/>
      <c r="G86" s="143" t="e">
        <f t="shared" si="1"/>
        <v>#DIV/0!</v>
      </c>
    </row>
    <row r="87" spans="1:7" s="190" customFormat="1" ht="15.75" hidden="1">
      <c r="A87" s="87"/>
      <c r="B87" s="218"/>
      <c r="C87" s="145"/>
      <c r="D87" s="143"/>
      <c r="E87" s="144"/>
      <c r="F87" s="142"/>
      <c r="G87" s="143" t="e">
        <f t="shared" si="1"/>
        <v>#DIV/0!</v>
      </c>
    </row>
    <row r="88" spans="1:7" s="190" customFormat="1" ht="15.75" hidden="1">
      <c r="A88" s="87"/>
      <c r="B88" s="218"/>
      <c r="C88" s="145"/>
      <c r="D88" s="143"/>
      <c r="E88" s="144"/>
      <c r="F88" s="142"/>
      <c r="G88" s="143" t="e">
        <f t="shared" si="1"/>
        <v>#DIV/0!</v>
      </c>
    </row>
    <row r="89" spans="1:7" s="190" customFormat="1" ht="15.75" hidden="1">
      <c r="A89" s="87"/>
      <c r="B89" s="218"/>
      <c r="C89" s="145"/>
      <c r="D89" s="143"/>
      <c r="E89" s="144"/>
      <c r="F89" s="142"/>
      <c r="G89" s="143" t="e">
        <f t="shared" si="1"/>
        <v>#DIV/0!</v>
      </c>
    </row>
    <row r="90" spans="1:7" s="190" customFormat="1" ht="15.75" hidden="1">
      <c r="A90" s="87"/>
      <c r="B90" s="218"/>
      <c r="C90" s="145"/>
      <c r="D90" s="143"/>
      <c r="E90" s="144"/>
      <c r="F90" s="142"/>
      <c r="G90" s="143" t="e">
        <f t="shared" si="1"/>
        <v>#DIV/0!</v>
      </c>
    </row>
    <row r="91" spans="1:7" s="190" customFormat="1" ht="15.75" customHeight="1" hidden="1">
      <c r="A91" s="87"/>
      <c r="B91" s="218"/>
      <c r="C91" s="248"/>
      <c r="D91" s="143"/>
      <c r="E91" s="144"/>
      <c r="F91" s="142"/>
      <c r="G91" s="143" t="e">
        <f t="shared" si="1"/>
        <v>#DIV/0!</v>
      </c>
    </row>
    <row r="92" spans="1:7" s="190" customFormat="1" ht="15.75">
      <c r="A92" s="87">
        <v>1064000000</v>
      </c>
      <c r="B92" s="218">
        <v>2212</v>
      </c>
      <c r="C92" s="145" t="s">
        <v>379</v>
      </c>
      <c r="D92" s="143">
        <v>0</v>
      </c>
      <c r="E92" s="144">
        <v>2544</v>
      </c>
      <c r="F92" s="142">
        <v>929.4</v>
      </c>
      <c r="G92" s="143">
        <f t="shared" si="1"/>
        <v>36.533018867924525</v>
      </c>
    </row>
    <row r="93" spans="1:7" s="190" customFormat="1" ht="15.75">
      <c r="A93" s="87">
        <v>1068000000</v>
      </c>
      <c r="B93" s="218">
        <v>2212</v>
      </c>
      <c r="C93" s="145" t="s">
        <v>380</v>
      </c>
      <c r="D93" s="143">
        <v>0</v>
      </c>
      <c r="E93" s="144">
        <v>50</v>
      </c>
      <c r="F93" s="142">
        <v>0</v>
      </c>
      <c r="G93" s="143">
        <f t="shared" si="1"/>
        <v>0</v>
      </c>
    </row>
    <row r="94" spans="1:7" s="190" customFormat="1" ht="15.75">
      <c r="A94" s="87">
        <v>1059000000</v>
      </c>
      <c r="B94" s="218">
        <v>2212</v>
      </c>
      <c r="C94" s="145" t="s">
        <v>381</v>
      </c>
      <c r="D94" s="143">
        <v>0</v>
      </c>
      <c r="E94" s="144">
        <v>3000</v>
      </c>
      <c r="F94" s="142">
        <v>50</v>
      </c>
      <c r="G94" s="143">
        <f t="shared" si="1"/>
        <v>1.6666666666666667</v>
      </c>
    </row>
    <row r="95" spans="1:7" s="190" customFormat="1" ht="15.75">
      <c r="A95" s="87">
        <v>1006010023</v>
      </c>
      <c r="B95" s="218">
        <v>2219</v>
      </c>
      <c r="C95" s="145" t="s">
        <v>382</v>
      </c>
      <c r="D95" s="143">
        <v>0</v>
      </c>
      <c r="E95" s="144">
        <v>7349</v>
      </c>
      <c r="F95" s="142">
        <v>80.6</v>
      </c>
      <c r="G95" s="143">
        <f t="shared" si="1"/>
        <v>1.0967478568512723</v>
      </c>
    </row>
    <row r="96" spans="1:7" s="190" customFormat="1" ht="15.75">
      <c r="A96" s="87">
        <v>1026000000</v>
      </c>
      <c r="B96" s="218">
        <v>2219</v>
      </c>
      <c r="C96" s="145" t="s">
        <v>383</v>
      </c>
      <c r="D96" s="143">
        <v>0</v>
      </c>
      <c r="E96" s="144">
        <v>523</v>
      </c>
      <c r="F96" s="142">
        <v>518.5</v>
      </c>
      <c r="G96" s="143">
        <f t="shared" si="1"/>
        <v>99.1395793499044</v>
      </c>
    </row>
    <row r="97" spans="1:7" s="190" customFormat="1" ht="15.75" customHeight="1">
      <c r="A97" s="87">
        <v>1033000000</v>
      </c>
      <c r="B97" s="218">
        <v>2219</v>
      </c>
      <c r="C97" s="248" t="s">
        <v>384</v>
      </c>
      <c r="D97" s="143">
        <v>0</v>
      </c>
      <c r="E97" s="144">
        <v>154.1</v>
      </c>
      <c r="F97" s="142">
        <v>154.1</v>
      </c>
      <c r="G97" s="143">
        <f t="shared" si="1"/>
        <v>100</v>
      </c>
    </row>
    <row r="98" spans="1:7" s="190" customFormat="1" ht="15.75" customHeight="1">
      <c r="A98" s="87">
        <v>1037000000</v>
      </c>
      <c r="B98" s="218">
        <v>2219</v>
      </c>
      <c r="C98" s="248" t="s">
        <v>385</v>
      </c>
      <c r="D98" s="143">
        <v>992</v>
      </c>
      <c r="E98" s="144">
        <v>1808</v>
      </c>
      <c r="F98" s="142">
        <v>321.6</v>
      </c>
      <c r="G98" s="143">
        <f t="shared" si="1"/>
        <v>17.787610619469028</v>
      </c>
    </row>
    <row r="99" spans="1:7" s="190" customFormat="1" ht="15.75" customHeight="1">
      <c r="A99" s="87">
        <v>1043000000</v>
      </c>
      <c r="B99" s="218">
        <v>2219</v>
      </c>
      <c r="C99" s="248" t="s">
        <v>386</v>
      </c>
      <c r="D99" s="143">
        <v>1036</v>
      </c>
      <c r="E99" s="144">
        <v>1036</v>
      </c>
      <c r="F99" s="142">
        <v>0</v>
      </c>
      <c r="G99" s="143">
        <f t="shared" si="1"/>
        <v>0</v>
      </c>
    </row>
    <row r="100" spans="1:7" s="190" customFormat="1" ht="15.75">
      <c r="A100" s="87">
        <v>1044000000</v>
      </c>
      <c r="B100" s="218">
        <v>2219</v>
      </c>
      <c r="C100" s="145" t="s">
        <v>387</v>
      </c>
      <c r="D100" s="143">
        <v>3000</v>
      </c>
      <c r="E100" s="144">
        <v>3000</v>
      </c>
      <c r="F100" s="142">
        <v>0</v>
      </c>
      <c r="G100" s="143">
        <f t="shared" si="1"/>
        <v>0</v>
      </c>
    </row>
    <row r="101" spans="1:7" s="190" customFormat="1" ht="15.75">
      <c r="A101" s="87">
        <v>1051000000</v>
      </c>
      <c r="B101" s="218">
        <v>2219</v>
      </c>
      <c r="C101" s="145" t="s">
        <v>388</v>
      </c>
      <c r="D101" s="143">
        <v>2000</v>
      </c>
      <c r="E101" s="144">
        <v>2000</v>
      </c>
      <c r="F101" s="142">
        <v>48</v>
      </c>
      <c r="G101" s="143">
        <f t="shared" si="1"/>
        <v>2.4</v>
      </c>
    </row>
    <row r="102" spans="1:7" s="190" customFormat="1" ht="15.75" customHeight="1">
      <c r="A102" s="87">
        <v>1052000000</v>
      </c>
      <c r="B102" s="218">
        <v>2219</v>
      </c>
      <c r="C102" s="248" t="s">
        <v>389</v>
      </c>
      <c r="D102" s="143">
        <v>811</v>
      </c>
      <c r="E102" s="144">
        <v>811</v>
      </c>
      <c r="F102" s="142">
        <v>0</v>
      </c>
      <c r="G102" s="143">
        <f t="shared" si="1"/>
        <v>0</v>
      </c>
    </row>
    <row r="103" spans="1:7" s="190" customFormat="1" ht="15.75">
      <c r="A103" s="87">
        <v>1054000000</v>
      </c>
      <c r="B103" s="218">
        <v>2219</v>
      </c>
      <c r="C103" s="145" t="s">
        <v>390</v>
      </c>
      <c r="D103" s="143">
        <v>0</v>
      </c>
      <c r="E103" s="144">
        <v>2000</v>
      </c>
      <c r="F103" s="142">
        <v>64.9</v>
      </c>
      <c r="G103" s="143">
        <f t="shared" si="1"/>
        <v>3.245</v>
      </c>
    </row>
    <row r="104" spans="1:7" s="190" customFormat="1" ht="15.75">
      <c r="A104" s="87">
        <v>1058000000</v>
      </c>
      <c r="B104" s="218">
        <v>2219</v>
      </c>
      <c r="C104" s="145" t="s">
        <v>391</v>
      </c>
      <c r="D104" s="143">
        <v>0</v>
      </c>
      <c r="E104" s="144">
        <v>853</v>
      </c>
      <c r="F104" s="142">
        <v>3</v>
      </c>
      <c r="G104" s="143">
        <f t="shared" si="1"/>
        <v>0.3516998827667058</v>
      </c>
    </row>
    <row r="105" spans="1:7" s="190" customFormat="1" ht="15.75">
      <c r="A105" s="87">
        <v>1061000000</v>
      </c>
      <c r="B105" s="218">
        <v>2219</v>
      </c>
      <c r="C105" s="145" t="s">
        <v>392</v>
      </c>
      <c r="D105" s="143">
        <v>0</v>
      </c>
      <c r="E105" s="144">
        <v>3800</v>
      </c>
      <c r="F105" s="142">
        <v>889</v>
      </c>
      <c r="G105" s="143">
        <f t="shared" si="1"/>
        <v>23.394736842105264</v>
      </c>
    </row>
    <row r="106" spans="1:7" s="190" customFormat="1" ht="15.75">
      <c r="A106" s="87">
        <v>1045000000</v>
      </c>
      <c r="B106" s="218">
        <v>2219</v>
      </c>
      <c r="C106" s="145" t="s">
        <v>393</v>
      </c>
      <c r="D106" s="143">
        <v>2500</v>
      </c>
      <c r="E106" s="144">
        <v>2500</v>
      </c>
      <c r="F106" s="142">
        <v>14</v>
      </c>
      <c r="G106" s="143">
        <f t="shared" si="1"/>
        <v>0.5599999999999999</v>
      </c>
    </row>
    <row r="107" spans="1:7" s="190" customFormat="1" ht="15.75">
      <c r="A107" s="63">
        <v>1003071007</v>
      </c>
      <c r="B107" s="249">
        <v>2221</v>
      </c>
      <c r="C107" s="98" t="s">
        <v>394</v>
      </c>
      <c r="D107" s="143">
        <v>41700</v>
      </c>
      <c r="E107" s="144">
        <v>26695.4</v>
      </c>
      <c r="F107" s="142">
        <v>7493.2</v>
      </c>
      <c r="G107" s="143">
        <f t="shared" si="1"/>
        <v>28.069255377330926</v>
      </c>
    </row>
    <row r="108" spans="1:7" s="190" customFormat="1" ht="15.75">
      <c r="A108" s="87">
        <v>1039000000</v>
      </c>
      <c r="B108" s="218">
        <v>2221</v>
      </c>
      <c r="C108" s="145" t="s">
        <v>395</v>
      </c>
      <c r="D108" s="143">
        <v>23650</v>
      </c>
      <c r="E108" s="144">
        <f>225.6+23.7+16707</f>
        <v>16956.3</v>
      </c>
      <c r="F108" s="142">
        <v>2355.8</v>
      </c>
      <c r="G108" s="143">
        <f t="shared" si="1"/>
        <v>13.893361169594783</v>
      </c>
    </row>
    <row r="109" spans="1:7" s="190" customFormat="1" ht="15.75">
      <c r="A109" s="87">
        <v>1036000000</v>
      </c>
      <c r="B109" s="218">
        <v>2331</v>
      </c>
      <c r="C109" s="145" t="s">
        <v>396</v>
      </c>
      <c r="D109" s="143">
        <v>727</v>
      </c>
      <c r="E109" s="144">
        <v>625.8</v>
      </c>
      <c r="F109" s="142">
        <v>588.4</v>
      </c>
      <c r="G109" s="143">
        <f t="shared" si="1"/>
        <v>94.02364972834772</v>
      </c>
    </row>
    <row r="110" spans="1:7" s="190" customFormat="1" ht="15.75">
      <c r="A110" s="87">
        <v>1046000000</v>
      </c>
      <c r="B110" s="218">
        <v>3111</v>
      </c>
      <c r="C110" s="145" t="s">
        <v>397</v>
      </c>
      <c r="D110" s="143">
        <v>1831</v>
      </c>
      <c r="E110" s="144">
        <v>1831</v>
      </c>
      <c r="F110" s="142">
        <v>83.7</v>
      </c>
      <c r="G110" s="143">
        <f t="shared" si="1"/>
        <v>4.571272528672857</v>
      </c>
    </row>
    <row r="111" spans="1:7" s="190" customFormat="1" ht="15.75">
      <c r="A111" s="87">
        <v>1047000000</v>
      </c>
      <c r="B111" s="218">
        <v>3111</v>
      </c>
      <c r="C111" s="145" t="s">
        <v>398</v>
      </c>
      <c r="D111" s="143">
        <v>8490</v>
      </c>
      <c r="E111" s="144">
        <v>8490</v>
      </c>
      <c r="F111" s="142">
        <v>106.4</v>
      </c>
      <c r="G111" s="143">
        <f aca="true" t="shared" si="2" ref="G111:G137">(F111/E111)*100</f>
        <v>1.2532391048292109</v>
      </c>
    </row>
    <row r="112" spans="1:7" s="190" customFormat="1" ht="15.75">
      <c r="A112" s="87">
        <v>1056000000</v>
      </c>
      <c r="B112" s="218">
        <v>3111</v>
      </c>
      <c r="C112" s="145" t="s">
        <v>399</v>
      </c>
      <c r="D112" s="143">
        <v>0</v>
      </c>
      <c r="E112" s="144">
        <v>3066</v>
      </c>
      <c r="F112" s="142">
        <v>1473.9</v>
      </c>
      <c r="G112" s="143">
        <f t="shared" si="2"/>
        <v>48.07240704500978</v>
      </c>
    </row>
    <row r="113" spans="1:7" s="190" customFormat="1" ht="15.75">
      <c r="A113" s="87">
        <v>1057000000</v>
      </c>
      <c r="B113" s="218">
        <v>3111</v>
      </c>
      <c r="C113" s="145" t="s">
        <v>400</v>
      </c>
      <c r="D113" s="143">
        <v>0</v>
      </c>
      <c r="E113" s="144">
        <v>1930</v>
      </c>
      <c r="F113" s="142">
        <v>1612.8</v>
      </c>
      <c r="G113" s="143">
        <f t="shared" si="2"/>
        <v>83.56476683937824</v>
      </c>
    </row>
    <row r="114" spans="1:7" s="190" customFormat="1" ht="15.75">
      <c r="A114" s="87">
        <v>1048000000</v>
      </c>
      <c r="B114" s="218">
        <v>3113</v>
      </c>
      <c r="C114" s="145" t="s">
        <v>401</v>
      </c>
      <c r="D114" s="143">
        <v>11824</v>
      </c>
      <c r="E114" s="144">
        <v>11824</v>
      </c>
      <c r="F114" s="142">
        <v>123.9</v>
      </c>
      <c r="G114" s="143">
        <f t="shared" si="2"/>
        <v>1.0478687415426253</v>
      </c>
    </row>
    <row r="115" spans="1:7" s="190" customFormat="1" ht="15.75">
      <c r="A115" s="87">
        <v>1055000000</v>
      </c>
      <c r="B115" s="218">
        <v>3113</v>
      </c>
      <c r="C115" s="145" t="s">
        <v>402</v>
      </c>
      <c r="D115" s="143">
        <v>0</v>
      </c>
      <c r="E115" s="144">
        <v>2936</v>
      </c>
      <c r="F115" s="142">
        <v>1425</v>
      </c>
      <c r="G115" s="143">
        <f t="shared" si="2"/>
        <v>48.53542234332425</v>
      </c>
    </row>
    <row r="116" spans="1:7" s="190" customFormat="1" ht="15.75">
      <c r="A116" s="63">
        <v>1017000000</v>
      </c>
      <c r="B116" s="249">
        <v>3313</v>
      </c>
      <c r="C116" s="98" t="s">
        <v>403</v>
      </c>
      <c r="D116" s="143">
        <v>400</v>
      </c>
      <c r="E116" s="144">
        <v>400</v>
      </c>
      <c r="F116" s="142">
        <v>0</v>
      </c>
      <c r="G116" s="143">
        <f t="shared" si="2"/>
        <v>0</v>
      </c>
    </row>
    <row r="117" spans="1:7" s="190" customFormat="1" ht="15.75">
      <c r="A117" s="63">
        <v>1063000000</v>
      </c>
      <c r="B117" s="249">
        <v>3421</v>
      </c>
      <c r="C117" s="98" t="s">
        <v>404</v>
      </c>
      <c r="D117" s="143">
        <v>0</v>
      </c>
      <c r="E117" s="144">
        <v>319.9</v>
      </c>
      <c r="F117" s="142">
        <v>0</v>
      </c>
      <c r="G117" s="143">
        <f t="shared" si="2"/>
        <v>0</v>
      </c>
    </row>
    <row r="118" spans="1:7" s="190" customFormat="1" ht="15.75">
      <c r="A118" s="63">
        <v>1080000000</v>
      </c>
      <c r="B118" s="249">
        <v>3421</v>
      </c>
      <c r="C118" s="98" t="s">
        <v>405</v>
      </c>
      <c r="D118" s="143">
        <v>0</v>
      </c>
      <c r="E118" s="144">
        <v>1396.6</v>
      </c>
      <c r="F118" s="142">
        <v>0</v>
      </c>
      <c r="G118" s="143">
        <f t="shared" si="2"/>
        <v>0</v>
      </c>
    </row>
    <row r="119" spans="1:7" s="190" customFormat="1" ht="15.75">
      <c r="A119" s="63">
        <v>1073000000</v>
      </c>
      <c r="B119" s="249">
        <v>3613</v>
      </c>
      <c r="C119" s="98" t="s">
        <v>406</v>
      </c>
      <c r="D119" s="143">
        <v>0</v>
      </c>
      <c r="E119" s="144">
        <v>1090</v>
      </c>
      <c r="F119" s="142">
        <v>0</v>
      </c>
      <c r="G119" s="143">
        <f t="shared" si="2"/>
        <v>0</v>
      </c>
    </row>
    <row r="120" spans="1:7" s="190" customFormat="1" ht="15.75">
      <c r="A120" s="63">
        <v>1074000000</v>
      </c>
      <c r="B120" s="249">
        <v>3613</v>
      </c>
      <c r="C120" s="98" t="s">
        <v>407</v>
      </c>
      <c r="D120" s="143">
        <v>0</v>
      </c>
      <c r="E120" s="144">
        <v>490</v>
      </c>
      <c r="F120" s="142">
        <v>0</v>
      </c>
      <c r="G120" s="143">
        <f t="shared" si="2"/>
        <v>0</v>
      </c>
    </row>
    <row r="121" spans="1:7" s="190" customFormat="1" ht="15.75">
      <c r="A121" s="87">
        <v>1049000000</v>
      </c>
      <c r="B121" s="218">
        <v>3632</v>
      </c>
      <c r="C121" s="145" t="s">
        <v>408</v>
      </c>
      <c r="D121" s="143">
        <v>600</v>
      </c>
      <c r="E121" s="144">
        <v>600</v>
      </c>
      <c r="F121" s="142">
        <v>0</v>
      </c>
      <c r="G121" s="143">
        <f t="shared" si="2"/>
        <v>0</v>
      </c>
    </row>
    <row r="122" spans="1:7" s="190" customFormat="1" ht="15.75">
      <c r="A122" s="87">
        <v>1016092001</v>
      </c>
      <c r="B122" s="218">
        <v>3635</v>
      </c>
      <c r="C122" s="145" t="s">
        <v>409</v>
      </c>
      <c r="D122" s="143">
        <v>1405</v>
      </c>
      <c r="E122" s="144">
        <v>1405</v>
      </c>
      <c r="F122" s="142">
        <v>0</v>
      </c>
      <c r="G122" s="143">
        <f t="shared" si="2"/>
        <v>0</v>
      </c>
    </row>
    <row r="123" spans="1:7" s="190" customFormat="1" ht="15.75">
      <c r="A123" s="87">
        <v>1060000000</v>
      </c>
      <c r="B123" s="218">
        <v>3726</v>
      </c>
      <c r="C123" s="145" t="s">
        <v>410</v>
      </c>
      <c r="D123" s="143">
        <v>0</v>
      </c>
      <c r="E123" s="144">
        <v>2014.5</v>
      </c>
      <c r="F123" s="142">
        <v>39.9</v>
      </c>
      <c r="G123" s="143">
        <f t="shared" si="2"/>
        <v>1.980640357408786</v>
      </c>
    </row>
    <row r="124" spans="1:7" s="190" customFormat="1" ht="15.75">
      <c r="A124" s="87">
        <v>1066000000</v>
      </c>
      <c r="B124" s="218">
        <v>3745</v>
      </c>
      <c r="C124" s="145" t="s">
        <v>411</v>
      </c>
      <c r="D124" s="143">
        <v>0</v>
      </c>
      <c r="E124" s="144">
        <v>58.7</v>
      </c>
      <c r="F124" s="142">
        <v>58.7</v>
      </c>
      <c r="G124" s="143">
        <f t="shared" si="2"/>
        <v>100</v>
      </c>
    </row>
    <row r="125" spans="1:7" s="190" customFormat="1" ht="15.75">
      <c r="A125" s="87">
        <v>1069000000</v>
      </c>
      <c r="B125" s="218">
        <v>3745</v>
      </c>
      <c r="C125" s="145" t="s">
        <v>412</v>
      </c>
      <c r="D125" s="143">
        <v>0</v>
      </c>
      <c r="E125" s="144">
        <v>1114.4</v>
      </c>
      <c r="F125" s="142">
        <v>5.4</v>
      </c>
      <c r="G125" s="143">
        <f t="shared" si="2"/>
        <v>0.4845656855707107</v>
      </c>
    </row>
    <row r="126" spans="1:7" s="190" customFormat="1" ht="15.75">
      <c r="A126" s="87">
        <v>1070000000</v>
      </c>
      <c r="B126" s="218">
        <v>3745</v>
      </c>
      <c r="C126" s="145" t="s">
        <v>413</v>
      </c>
      <c r="D126" s="143">
        <v>0</v>
      </c>
      <c r="E126" s="144">
        <v>285</v>
      </c>
      <c r="F126" s="142">
        <v>0</v>
      </c>
      <c r="G126" s="143">
        <f t="shared" si="2"/>
        <v>0</v>
      </c>
    </row>
    <row r="127" spans="1:7" s="190" customFormat="1" ht="15.75">
      <c r="A127" s="87">
        <v>1071000000</v>
      </c>
      <c r="B127" s="218">
        <v>3745</v>
      </c>
      <c r="C127" s="145" t="s">
        <v>414</v>
      </c>
      <c r="D127" s="143">
        <v>0</v>
      </c>
      <c r="E127" s="144">
        <v>237.9</v>
      </c>
      <c r="F127" s="142">
        <v>0</v>
      </c>
      <c r="G127" s="143">
        <f t="shared" si="2"/>
        <v>0</v>
      </c>
    </row>
    <row r="128" spans="1:7" s="190" customFormat="1" ht="15.75">
      <c r="A128" s="87">
        <v>1072000000</v>
      </c>
      <c r="B128" s="218">
        <v>3745</v>
      </c>
      <c r="C128" s="145" t="s">
        <v>415</v>
      </c>
      <c r="D128" s="143">
        <v>0</v>
      </c>
      <c r="E128" s="144">
        <v>100.9</v>
      </c>
      <c r="F128" s="142">
        <v>0</v>
      </c>
      <c r="G128" s="143">
        <f t="shared" si="2"/>
        <v>0</v>
      </c>
    </row>
    <row r="129" spans="1:7" s="190" customFormat="1" ht="15.75">
      <c r="A129" s="87">
        <v>1040000000</v>
      </c>
      <c r="B129" s="218">
        <v>4349</v>
      </c>
      <c r="C129" s="145" t="s">
        <v>416</v>
      </c>
      <c r="D129" s="143">
        <v>0</v>
      </c>
      <c r="E129" s="144">
        <v>116.9</v>
      </c>
      <c r="F129" s="142">
        <v>116.9</v>
      </c>
      <c r="G129" s="143">
        <f t="shared" si="2"/>
        <v>100</v>
      </c>
    </row>
    <row r="130" spans="1:7" s="190" customFormat="1" ht="15.75">
      <c r="A130" s="87">
        <v>1041000000</v>
      </c>
      <c r="B130" s="218">
        <v>4349</v>
      </c>
      <c r="C130" s="145" t="s">
        <v>417</v>
      </c>
      <c r="D130" s="143">
        <v>0</v>
      </c>
      <c r="E130" s="144">
        <v>400</v>
      </c>
      <c r="F130" s="142">
        <v>367.4</v>
      </c>
      <c r="G130" s="143">
        <f t="shared" si="2"/>
        <v>91.85</v>
      </c>
    </row>
    <row r="131" spans="1:7" s="190" customFormat="1" ht="15.75">
      <c r="A131" s="87">
        <v>1053000000</v>
      </c>
      <c r="B131" s="218">
        <v>4349</v>
      </c>
      <c r="C131" s="145" t="s">
        <v>418</v>
      </c>
      <c r="D131" s="143">
        <v>0</v>
      </c>
      <c r="E131" s="144">
        <v>497</v>
      </c>
      <c r="F131" s="142">
        <v>47</v>
      </c>
      <c r="G131" s="143">
        <f t="shared" si="2"/>
        <v>9.456740442655935</v>
      </c>
    </row>
    <row r="132" spans="1:7" s="190" customFormat="1" ht="15.75">
      <c r="A132" s="87">
        <v>1001081012</v>
      </c>
      <c r="B132" s="218">
        <v>4357</v>
      </c>
      <c r="C132" s="145" t="s">
        <v>419</v>
      </c>
      <c r="D132" s="143">
        <v>500</v>
      </c>
      <c r="E132" s="144">
        <v>500</v>
      </c>
      <c r="F132" s="142">
        <v>492.5</v>
      </c>
      <c r="G132" s="143">
        <f t="shared" si="2"/>
        <v>98.5</v>
      </c>
    </row>
    <row r="133" spans="1:82" s="184" customFormat="1" ht="15">
      <c r="A133" s="250">
        <v>1065000000</v>
      </c>
      <c r="B133" s="251">
        <v>4357</v>
      </c>
      <c r="C133" s="250" t="s">
        <v>420</v>
      </c>
      <c r="D133" s="143">
        <v>0</v>
      </c>
      <c r="E133" s="144">
        <v>840</v>
      </c>
      <c r="F133" s="142">
        <v>840</v>
      </c>
      <c r="G133" s="143">
        <f t="shared" si="2"/>
        <v>100</v>
      </c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</row>
    <row r="134" spans="1:7" s="190" customFormat="1" ht="15.75">
      <c r="A134" s="87">
        <v>1008010025</v>
      </c>
      <c r="B134" s="218">
        <v>4374</v>
      </c>
      <c r="C134" s="145" t="s">
        <v>421</v>
      </c>
      <c r="D134" s="143">
        <v>500</v>
      </c>
      <c r="E134" s="144">
        <v>500</v>
      </c>
      <c r="F134" s="142">
        <v>2.3</v>
      </c>
      <c r="G134" s="143">
        <f t="shared" si="2"/>
        <v>0.45999999999999996</v>
      </c>
    </row>
    <row r="135" spans="1:7" s="190" customFormat="1" ht="15.75">
      <c r="A135" s="87">
        <v>1050000000</v>
      </c>
      <c r="B135" s="218">
        <v>6171</v>
      </c>
      <c r="C135" s="145" t="s">
        <v>422</v>
      </c>
      <c r="D135" s="143">
        <v>2700</v>
      </c>
      <c r="E135" s="144">
        <v>2236.9</v>
      </c>
      <c r="F135" s="142">
        <v>2236.9</v>
      </c>
      <c r="G135" s="143">
        <f t="shared" si="2"/>
        <v>100</v>
      </c>
    </row>
    <row r="136" spans="1:7" s="190" customFormat="1" ht="15.75">
      <c r="A136" s="87"/>
      <c r="B136" s="218"/>
      <c r="C136" s="145"/>
      <c r="D136" s="143"/>
      <c r="E136" s="144"/>
      <c r="F136" s="142"/>
      <c r="G136" s="143"/>
    </row>
    <row r="137" spans="1:7" s="196" customFormat="1" ht="16.5" customHeight="1">
      <c r="A137" s="109"/>
      <c r="B137" s="252"/>
      <c r="C137" s="108" t="s">
        <v>423</v>
      </c>
      <c r="D137" s="253">
        <f>SUM(D84:D136)</f>
        <v>116933</v>
      </c>
      <c r="E137" s="254">
        <f>SUM(E84:E136)</f>
        <v>129476.89999999998</v>
      </c>
      <c r="F137" s="255">
        <f>SUM(F84:F136)</f>
        <v>25410.700000000008</v>
      </c>
      <c r="G137" s="143">
        <f t="shared" si="2"/>
        <v>19.62566295609488</v>
      </c>
    </row>
    <row r="138" spans="1:7" s="196" customFormat="1" ht="16.5" customHeight="1" hidden="1">
      <c r="A138" s="109"/>
      <c r="B138" s="252"/>
      <c r="C138" s="108" t="s">
        <v>424</v>
      </c>
      <c r="D138" s="253" t="e">
        <f>SUM(#REF!+#REF!+#REF!+#REF!)</f>
        <v>#REF!</v>
      </c>
      <c r="E138" s="254" t="e">
        <f>SUM(#REF!+92+#REF!+#REF!)</f>
        <v>#REF!</v>
      </c>
      <c r="F138" s="255" t="e">
        <f>SUM(#REF!+#REF!+#REF!+#REF!)</f>
        <v>#REF!</v>
      </c>
      <c r="G138" s="143" t="e">
        <f>(#REF!/E138)*100</f>
        <v>#REF!</v>
      </c>
    </row>
    <row r="139" spans="1:7" s="190" customFormat="1" ht="15.75" customHeight="1" thickBot="1">
      <c r="A139" s="87"/>
      <c r="B139" s="218"/>
      <c r="C139" s="145"/>
      <c r="D139" s="143"/>
      <c r="E139" s="144"/>
      <c r="F139" s="142"/>
      <c r="G139" s="143"/>
    </row>
    <row r="140" spans="1:7" s="190" customFormat="1" ht="12.75" customHeight="1" hidden="1" thickBot="1">
      <c r="A140" s="256"/>
      <c r="B140" s="257"/>
      <c r="C140" s="258"/>
      <c r="D140" s="259"/>
      <c r="E140" s="260"/>
      <c r="F140" s="261"/>
      <c r="G140" s="259"/>
    </row>
    <row r="141" spans="1:7" s="185" customFormat="1" ht="18.75" customHeight="1" thickBot="1" thickTop="1">
      <c r="A141" s="262"/>
      <c r="B141" s="229"/>
      <c r="C141" s="263" t="s">
        <v>425</v>
      </c>
      <c r="D141" s="231">
        <f>SUM(D82,D137)</f>
        <v>188459</v>
      </c>
      <c r="E141" s="232">
        <f>SUM(E82,E137)</f>
        <v>216433.09999999998</v>
      </c>
      <c r="F141" s="233">
        <f>SUM(F82,F137)</f>
        <v>86790.50000000001</v>
      </c>
      <c r="G141" s="231">
        <f>(F141/E141)*100</f>
        <v>40.10038205801239</v>
      </c>
    </row>
    <row r="142" spans="1:7" s="190" customFormat="1" ht="16.5" customHeight="1">
      <c r="A142" s="234"/>
      <c r="B142" s="264"/>
      <c r="C142" s="234"/>
      <c r="D142" s="236"/>
      <c r="E142" s="265"/>
      <c r="F142" s="194"/>
      <c r="G142" s="194"/>
    </row>
    <row r="143" spans="1:7" s="185" customFormat="1" ht="12.75" customHeight="1" hidden="1">
      <c r="A143" s="184"/>
      <c r="B143" s="187"/>
      <c r="C143" s="234"/>
      <c r="D143" s="236"/>
      <c r="E143" s="236"/>
      <c r="F143" s="236"/>
      <c r="G143" s="236"/>
    </row>
    <row r="144" spans="1:7" s="185" customFormat="1" ht="12.75" customHeight="1" hidden="1">
      <c r="A144" s="184"/>
      <c r="B144" s="187"/>
      <c r="C144" s="234"/>
      <c r="D144" s="236"/>
      <c r="E144" s="236"/>
      <c r="F144" s="236"/>
      <c r="G144" s="236"/>
    </row>
    <row r="145" spans="1:7" s="185" customFormat="1" ht="12.75" customHeight="1" hidden="1">
      <c r="A145" s="184"/>
      <c r="B145" s="187"/>
      <c r="C145" s="234"/>
      <c r="D145" s="236"/>
      <c r="E145" s="236"/>
      <c r="F145" s="236"/>
      <c r="G145" s="236"/>
    </row>
    <row r="146" spans="1:7" s="185" customFormat="1" ht="12.75" customHeight="1" hidden="1">
      <c r="A146" s="184"/>
      <c r="B146" s="187"/>
      <c r="C146" s="234"/>
      <c r="D146" s="236"/>
      <c r="E146" s="236"/>
      <c r="F146" s="236"/>
      <c r="G146" s="236"/>
    </row>
    <row r="147" spans="1:7" s="185" customFormat="1" ht="12.75" customHeight="1" hidden="1">
      <c r="A147" s="184"/>
      <c r="B147" s="187"/>
      <c r="C147" s="234"/>
      <c r="D147" s="236"/>
      <c r="E147" s="236"/>
      <c r="F147" s="236"/>
      <c r="G147" s="236"/>
    </row>
    <row r="148" spans="1:7" s="185" customFormat="1" ht="12.75" customHeight="1" hidden="1">
      <c r="A148" s="184"/>
      <c r="B148" s="187"/>
      <c r="C148" s="234"/>
      <c r="D148" s="236"/>
      <c r="E148" s="236"/>
      <c r="F148" s="236"/>
      <c r="G148" s="236"/>
    </row>
    <row r="149" spans="1:7" s="185" customFormat="1" ht="15.75" customHeight="1" thickBot="1">
      <c r="A149" s="184"/>
      <c r="B149" s="187"/>
      <c r="C149" s="234"/>
      <c r="D149" s="236"/>
      <c r="E149" s="201"/>
      <c r="F149" s="201"/>
      <c r="G149" s="201"/>
    </row>
    <row r="150" spans="1:7" s="185" customFormat="1" ht="15.75">
      <c r="A150" s="205" t="s">
        <v>25</v>
      </c>
      <c r="B150" s="206" t="s">
        <v>26</v>
      </c>
      <c r="C150" s="205" t="s">
        <v>28</v>
      </c>
      <c r="D150" s="205" t="s">
        <v>29</v>
      </c>
      <c r="E150" s="205" t="s">
        <v>29</v>
      </c>
      <c r="F150" s="53" t="s">
        <v>8</v>
      </c>
      <c r="G150" s="205" t="s">
        <v>312</v>
      </c>
    </row>
    <row r="151" spans="1:7" s="185" customFormat="1" ht="15.75" customHeight="1" thickBot="1">
      <c r="A151" s="207"/>
      <c r="B151" s="208"/>
      <c r="C151" s="209"/>
      <c r="D151" s="210" t="s">
        <v>31</v>
      </c>
      <c r="E151" s="210" t="s">
        <v>32</v>
      </c>
      <c r="F151" s="57" t="s">
        <v>33</v>
      </c>
      <c r="G151" s="210" t="s">
        <v>313</v>
      </c>
    </row>
    <row r="152" spans="1:7" s="185" customFormat="1" ht="16.5" customHeight="1" thickTop="1">
      <c r="A152" s="211">
        <v>30</v>
      </c>
      <c r="B152" s="211"/>
      <c r="C152" s="109" t="s">
        <v>127</v>
      </c>
      <c r="D152" s="117"/>
      <c r="E152" s="115"/>
      <c r="F152" s="116"/>
      <c r="G152" s="117"/>
    </row>
    <row r="153" spans="1:7" s="185" customFormat="1" ht="16.5" customHeight="1">
      <c r="A153" s="266">
        <v>31</v>
      </c>
      <c r="B153" s="266"/>
      <c r="C153" s="109"/>
      <c r="D153" s="143"/>
      <c r="E153" s="144"/>
      <c r="F153" s="142"/>
      <c r="G153" s="143"/>
    </row>
    <row r="154" spans="1:7" s="185" customFormat="1" ht="15">
      <c r="A154" s="87"/>
      <c r="B154" s="267">
        <v>3341</v>
      </c>
      <c r="C154" s="184" t="s">
        <v>426</v>
      </c>
      <c r="D154" s="143">
        <v>30</v>
      </c>
      <c r="E154" s="144">
        <v>30</v>
      </c>
      <c r="F154" s="142">
        <v>10.9</v>
      </c>
      <c r="G154" s="143">
        <f aca="true" t="shared" si="3" ref="G154:G164">(F154/E154)*100</f>
        <v>36.333333333333336</v>
      </c>
    </row>
    <row r="155" spans="1:7" s="185" customFormat="1" ht="15.75" customHeight="1">
      <c r="A155" s="87"/>
      <c r="B155" s="267">
        <v>3349</v>
      </c>
      <c r="C155" s="145" t="s">
        <v>427</v>
      </c>
      <c r="D155" s="143">
        <v>735</v>
      </c>
      <c r="E155" s="144">
        <v>735</v>
      </c>
      <c r="F155" s="142">
        <v>561.4</v>
      </c>
      <c r="G155" s="143">
        <f t="shared" si="3"/>
        <v>76.38095238095238</v>
      </c>
    </row>
    <row r="156" spans="1:7" s="185" customFormat="1" ht="15.75" customHeight="1">
      <c r="A156" s="87"/>
      <c r="B156" s="267">
        <v>5212</v>
      </c>
      <c r="C156" s="87" t="s">
        <v>428</v>
      </c>
      <c r="D156" s="268">
        <v>20</v>
      </c>
      <c r="E156" s="269">
        <v>20</v>
      </c>
      <c r="F156" s="142">
        <v>0</v>
      </c>
      <c r="G156" s="143">
        <f t="shared" si="3"/>
        <v>0</v>
      </c>
    </row>
    <row r="157" spans="1:7" s="185" customFormat="1" ht="15.75" customHeight="1">
      <c r="A157" s="87"/>
      <c r="B157" s="267">
        <v>5279</v>
      </c>
      <c r="C157" s="87" t="s">
        <v>429</v>
      </c>
      <c r="D157" s="268">
        <v>50</v>
      </c>
      <c r="E157" s="269">
        <v>50</v>
      </c>
      <c r="F157" s="142">
        <v>0</v>
      </c>
      <c r="G157" s="143">
        <f t="shared" si="3"/>
        <v>0</v>
      </c>
    </row>
    <row r="158" spans="1:7" s="185" customFormat="1" ht="15">
      <c r="A158" s="87"/>
      <c r="B158" s="267">
        <v>5512</v>
      </c>
      <c r="C158" s="184" t="s">
        <v>430</v>
      </c>
      <c r="D158" s="143">
        <v>3838</v>
      </c>
      <c r="E158" s="144">
        <v>11446</v>
      </c>
      <c r="F158" s="142">
        <v>1592.8</v>
      </c>
      <c r="G158" s="143">
        <f t="shared" si="3"/>
        <v>13.915778437882228</v>
      </c>
    </row>
    <row r="159" spans="1:7" s="185" customFormat="1" ht="15.75" customHeight="1">
      <c r="A159" s="87"/>
      <c r="B159" s="267">
        <v>6112</v>
      </c>
      <c r="C159" s="145" t="s">
        <v>431</v>
      </c>
      <c r="D159" s="143">
        <v>4988.3</v>
      </c>
      <c r="E159" s="144">
        <v>4991.3</v>
      </c>
      <c r="F159" s="142">
        <v>3684</v>
      </c>
      <c r="G159" s="143">
        <f t="shared" si="3"/>
        <v>73.80842666239256</v>
      </c>
    </row>
    <row r="160" spans="1:7" s="185" customFormat="1" ht="15.75" customHeight="1">
      <c r="A160" s="87"/>
      <c r="B160" s="267">
        <v>6114</v>
      </c>
      <c r="C160" s="145" t="s">
        <v>432</v>
      </c>
      <c r="D160" s="143">
        <v>0</v>
      </c>
      <c r="E160" s="144">
        <v>653</v>
      </c>
      <c r="F160" s="142">
        <v>47.3</v>
      </c>
      <c r="G160" s="143">
        <f t="shared" si="3"/>
        <v>7.243491577335375</v>
      </c>
    </row>
    <row r="161" spans="1:7" s="185" customFormat="1" ht="15.75" customHeight="1" hidden="1">
      <c r="A161" s="87"/>
      <c r="B161" s="267">
        <v>6115</v>
      </c>
      <c r="C161" s="145" t="s">
        <v>433</v>
      </c>
      <c r="D161" s="143">
        <v>0</v>
      </c>
      <c r="E161" s="144"/>
      <c r="F161" s="142"/>
      <c r="G161" s="143" t="e">
        <f t="shared" si="3"/>
        <v>#DIV/0!</v>
      </c>
    </row>
    <row r="162" spans="1:7" s="185" customFormat="1" ht="15.75" customHeight="1">
      <c r="A162" s="87"/>
      <c r="B162" s="267">
        <v>6118</v>
      </c>
      <c r="C162" s="145" t="s">
        <v>434</v>
      </c>
      <c r="D162" s="268">
        <v>0</v>
      </c>
      <c r="E162" s="269">
        <v>469.4</v>
      </c>
      <c r="F162" s="142">
        <v>469.4</v>
      </c>
      <c r="G162" s="143">
        <f t="shared" si="3"/>
        <v>100</v>
      </c>
    </row>
    <row r="163" spans="1:7" s="185" customFormat="1" ht="15.75" customHeight="1" hidden="1">
      <c r="A163" s="87"/>
      <c r="B163" s="267">
        <v>6149</v>
      </c>
      <c r="C163" s="145" t="s">
        <v>435</v>
      </c>
      <c r="D163" s="268">
        <v>0</v>
      </c>
      <c r="E163" s="269">
        <v>0</v>
      </c>
      <c r="F163" s="142"/>
      <c r="G163" s="143" t="e">
        <f t="shared" si="3"/>
        <v>#DIV/0!</v>
      </c>
    </row>
    <row r="164" spans="1:7" s="185" customFormat="1" ht="17.25" customHeight="1">
      <c r="A164" s="267" t="s">
        <v>436</v>
      </c>
      <c r="B164" s="267">
        <v>6171</v>
      </c>
      <c r="C164" s="145" t="s">
        <v>437</v>
      </c>
      <c r="D164" s="143">
        <f>100227+200</f>
        <v>100427</v>
      </c>
      <c r="E164" s="144">
        <f>110113+220</f>
        <v>110333</v>
      </c>
      <c r="F164" s="142">
        <f>74979.4+157.5</f>
        <v>75136.9</v>
      </c>
      <c r="G164" s="143">
        <f t="shared" si="3"/>
        <v>68.10011510608793</v>
      </c>
    </row>
    <row r="165" spans="1:7" s="185" customFormat="1" ht="15.75" customHeight="1" thickBot="1">
      <c r="A165" s="270"/>
      <c r="B165" s="271"/>
      <c r="C165" s="272"/>
      <c r="D165" s="268"/>
      <c r="E165" s="269"/>
      <c r="F165" s="273"/>
      <c r="G165" s="268"/>
    </row>
    <row r="166" spans="1:7" s="185" customFormat="1" ht="18.75" customHeight="1" thickBot="1" thickTop="1">
      <c r="A166" s="262"/>
      <c r="B166" s="274"/>
      <c r="C166" s="275" t="s">
        <v>438</v>
      </c>
      <c r="D166" s="231">
        <f>SUM(D154:D165)</f>
        <v>110088.3</v>
      </c>
      <c r="E166" s="232">
        <f>SUM(E154:E165)</f>
        <v>128727.7</v>
      </c>
      <c r="F166" s="233">
        <f>SUM(F154:F165)</f>
        <v>81502.7</v>
      </c>
      <c r="G166" s="231">
        <f>(F166/E166)*100</f>
        <v>63.314034197767846</v>
      </c>
    </row>
    <row r="167" spans="1:7" s="185" customFormat="1" ht="15.75" customHeight="1">
      <c r="A167" s="184"/>
      <c r="B167" s="187"/>
      <c r="C167" s="234"/>
      <c r="D167" s="236"/>
      <c r="E167" s="276"/>
      <c r="F167" s="236"/>
      <c r="G167" s="236"/>
    </row>
    <row r="168" spans="1:7" s="185" customFormat="1" ht="12.75" customHeight="1" hidden="1">
      <c r="A168" s="184"/>
      <c r="B168" s="187"/>
      <c r="C168" s="234"/>
      <c r="D168" s="236"/>
      <c r="E168" s="236"/>
      <c r="F168" s="236"/>
      <c r="G168" s="236"/>
    </row>
    <row r="169" spans="1:7" s="185" customFormat="1" ht="12.75" customHeight="1" hidden="1">
      <c r="A169" s="184"/>
      <c r="B169" s="187"/>
      <c r="C169" s="234"/>
      <c r="D169" s="236"/>
      <c r="E169" s="236"/>
      <c r="F169" s="236"/>
      <c r="G169" s="236"/>
    </row>
    <row r="170" spans="1:7" s="185" customFormat="1" ht="12.75" customHeight="1" hidden="1">
      <c r="A170" s="184"/>
      <c r="B170" s="187"/>
      <c r="C170" s="234"/>
      <c r="D170" s="236"/>
      <c r="E170" s="236"/>
      <c r="F170" s="236"/>
      <c r="G170" s="236"/>
    </row>
    <row r="171" spans="1:7" s="185" customFormat="1" ht="12.75" customHeight="1" hidden="1">
      <c r="A171" s="184"/>
      <c r="B171" s="187"/>
      <c r="C171" s="234"/>
      <c r="D171" s="236"/>
      <c r="E171" s="236"/>
      <c r="F171" s="236"/>
      <c r="G171" s="236"/>
    </row>
    <row r="172" spans="1:7" s="185" customFormat="1" ht="15.75" customHeight="1" thickBot="1">
      <c r="A172" s="184"/>
      <c r="B172" s="187"/>
      <c r="C172" s="234"/>
      <c r="D172" s="236"/>
      <c r="E172" s="236"/>
      <c r="F172" s="236"/>
      <c r="G172" s="236"/>
    </row>
    <row r="173" spans="1:7" s="185" customFormat="1" ht="15.75">
      <c r="A173" s="205" t="s">
        <v>25</v>
      </c>
      <c r="B173" s="206" t="s">
        <v>26</v>
      </c>
      <c r="C173" s="205" t="s">
        <v>28</v>
      </c>
      <c r="D173" s="205" t="s">
        <v>29</v>
      </c>
      <c r="E173" s="205" t="s">
        <v>29</v>
      </c>
      <c r="F173" s="53" t="s">
        <v>8</v>
      </c>
      <c r="G173" s="205" t="s">
        <v>312</v>
      </c>
    </row>
    <row r="174" spans="1:7" s="185" customFormat="1" ht="15.75" customHeight="1" thickBot="1">
      <c r="A174" s="207"/>
      <c r="B174" s="208"/>
      <c r="C174" s="209"/>
      <c r="D174" s="210" t="s">
        <v>31</v>
      </c>
      <c r="E174" s="210" t="s">
        <v>32</v>
      </c>
      <c r="F174" s="57" t="s">
        <v>33</v>
      </c>
      <c r="G174" s="210" t="s">
        <v>313</v>
      </c>
    </row>
    <row r="175" spans="1:7" s="185" customFormat="1" ht="16.5" thickTop="1">
      <c r="A175" s="211">
        <v>50</v>
      </c>
      <c r="B175" s="212"/>
      <c r="C175" s="213" t="s">
        <v>158</v>
      </c>
      <c r="D175" s="117"/>
      <c r="E175" s="115"/>
      <c r="F175" s="116"/>
      <c r="G175" s="117"/>
    </row>
    <row r="176" spans="1:7" s="185" customFormat="1" ht="14.25" customHeight="1">
      <c r="A176" s="211"/>
      <c r="B176" s="212"/>
      <c r="C176" s="213"/>
      <c r="D176" s="117"/>
      <c r="E176" s="115"/>
      <c r="F176" s="116"/>
      <c r="G176" s="117"/>
    </row>
    <row r="177" spans="1:7" s="185" customFormat="1" ht="15">
      <c r="A177" s="87"/>
      <c r="B177" s="218">
        <v>3541</v>
      </c>
      <c r="C177" s="87" t="s">
        <v>439</v>
      </c>
      <c r="D177" s="99">
        <v>400</v>
      </c>
      <c r="E177" s="65">
        <v>400</v>
      </c>
      <c r="F177" s="66">
        <v>400</v>
      </c>
      <c r="G177" s="143">
        <f aca="true" t="shared" si="4" ref="G177:G193">(F177/E177)*100</f>
        <v>100</v>
      </c>
    </row>
    <row r="178" spans="1:7" s="185" customFormat="1" ht="15">
      <c r="A178" s="87"/>
      <c r="B178" s="218">
        <v>3599</v>
      </c>
      <c r="C178" s="87" t="s">
        <v>440</v>
      </c>
      <c r="D178" s="99">
        <v>3</v>
      </c>
      <c r="E178" s="65">
        <v>5</v>
      </c>
      <c r="F178" s="66">
        <v>4.7</v>
      </c>
      <c r="G178" s="143">
        <f t="shared" si="4"/>
        <v>94</v>
      </c>
    </row>
    <row r="179" spans="1:7" s="185" customFormat="1" ht="15">
      <c r="A179" s="87"/>
      <c r="B179" s="218">
        <v>4193</v>
      </c>
      <c r="C179" s="87" t="s">
        <v>441</v>
      </c>
      <c r="D179" s="99">
        <v>0</v>
      </c>
      <c r="E179" s="65">
        <v>19.4</v>
      </c>
      <c r="F179" s="66">
        <v>0</v>
      </c>
      <c r="G179" s="143">
        <f t="shared" si="4"/>
        <v>0</v>
      </c>
    </row>
    <row r="180" spans="1:7" s="185" customFormat="1" ht="15">
      <c r="A180" s="250"/>
      <c r="B180" s="218">
        <v>4329</v>
      </c>
      <c r="C180" s="87" t="s">
        <v>442</v>
      </c>
      <c r="D180" s="99">
        <v>40</v>
      </c>
      <c r="E180" s="65">
        <v>50</v>
      </c>
      <c r="F180" s="66">
        <v>46</v>
      </c>
      <c r="G180" s="143">
        <f t="shared" si="4"/>
        <v>92</v>
      </c>
    </row>
    <row r="181" spans="1:7" s="185" customFormat="1" ht="15">
      <c r="A181" s="87"/>
      <c r="B181" s="218">
        <v>4333</v>
      </c>
      <c r="C181" s="87" t="s">
        <v>443</v>
      </c>
      <c r="D181" s="99">
        <v>150</v>
      </c>
      <c r="E181" s="65">
        <v>150</v>
      </c>
      <c r="F181" s="66">
        <v>150</v>
      </c>
      <c r="G181" s="143">
        <f t="shared" si="4"/>
        <v>100</v>
      </c>
    </row>
    <row r="182" spans="1:7" s="185" customFormat="1" ht="15" customHeight="1" hidden="1">
      <c r="A182" s="87"/>
      <c r="B182" s="218">
        <v>4341</v>
      </c>
      <c r="C182" s="87" t="s">
        <v>444</v>
      </c>
      <c r="D182" s="99">
        <v>0</v>
      </c>
      <c r="E182" s="65">
        <v>0</v>
      </c>
      <c r="F182" s="66"/>
      <c r="G182" s="143" t="e">
        <f t="shared" si="4"/>
        <v>#DIV/0!</v>
      </c>
    </row>
    <row r="183" spans="1:7" s="185" customFormat="1" ht="15">
      <c r="A183" s="87"/>
      <c r="B183" s="218">
        <v>4342</v>
      </c>
      <c r="C183" s="87" t="s">
        <v>445</v>
      </c>
      <c r="D183" s="99">
        <v>20</v>
      </c>
      <c r="E183" s="65">
        <v>0.6</v>
      </c>
      <c r="F183" s="66">
        <v>0</v>
      </c>
      <c r="G183" s="143">
        <f t="shared" si="4"/>
        <v>0</v>
      </c>
    </row>
    <row r="184" spans="1:7" s="185" customFormat="1" ht="15">
      <c r="A184" s="87"/>
      <c r="B184" s="218">
        <v>4343</v>
      </c>
      <c r="C184" s="87" t="s">
        <v>446</v>
      </c>
      <c r="D184" s="99">
        <v>50</v>
      </c>
      <c r="E184" s="65">
        <v>50</v>
      </c>
      <c r="F184" s="66">
        <v>0</v>
      </c>
      <c r="G184" s="143">
        <f t="shared" si="4"/>
        <v>0</v>
      </c>
    </row>
    <row r="185" spans="1:7" s="185" customFormat="1" ht="15">
      <c r="A185" s="87"/>
      <c r="B185" s="218">
        <v>4349</v>
      </c>
      <c r="C185" s="87" t="s">
        <v>447</v>
      </c>
      <c r="D185" s="99">
        <v>530</v>
      </c>
      <c r="E185" s="65">
        <v>799.1</v>
      </c>
      <c r="F185" s="66">
        <v>787</v>
      </c>
      <c r="G185" s="143">
        <f t="shared" si="4"/>
        <v>98.48579652108623</v>
      </c>
    </row>
    <row r="186" spans="1:7" s="185" customFormat="1" ht="15">
      <c r="A186" s="250"/>
      <c r="B186" s="277">
        <v>4351</v>
      </c>
      <c r="C186" s="250" t="s">
        <v>448</v>
      </c>
      <c r="D186" s="99">
        <v>2124</v>
      </c>
      <c r="E186" s="65">
        <v>2132.9</v>
      </c>
      <c r="F186" s="66">
        <v>2132.9</v>
      </c>
      <c r="G186" s="143">
        <f t="shared" si="4"/>
        <v>100</v>
      </c>
    </row>
    <row r="187" spans="1:7" s="185" customFormat="1" ht="15">
      <c r="A187" s="250"/>
      <c r="B187" s="277">
        <v>4356</v>
      </c>
      <c r="C187" s="250" t="s">
        <v>449</v>
      </c>
      <c r="D187" s="99">
        <v>600</v>
      </c>
      <c r="E187" s="65">
        <v>600</v>
      </c>
      <c r="F187" s="66">
        <v>600</v>
      </c>
      <c r="G187" s="143">
        <f t="shared" si="4"/>
        <v>100</v>
      </c>
    </row>
    <row r="188" spans="1:7" s="185" customFormat="1" ht="15">
      <c r="A188" s="250"/>
      <c r="B188" s="277">
        <v>4357</v>
      </c>
      <c r="C188" s="250" t="s">
        <v>450</v>
      </c>
      <c r="D188" s="99">
        <v>8200</v>
      </c>
      <c r="E188" s="65">
        <f>8467+481</f>
        <v>8948</v>
      </c>
      <c r="F188" s="66">
        <f>8200+0</f>
        <v>8200</v>
      </c>
      <c r="G188" s="143">
        <f t="shared" si="4"/>
        <v>91.64059007599464</v>
      </c>
    </row>
    <row r="189" spans="1:7" s="185" customFormat="1" ht="15">
      <c r="A189" s="250"/>
      <c r="B189" s="277">
        <v>4357</v>
      </c>
      <c r="C189" s="250" t="s">
        <v>451</v>
      </c>
      <c r="D189" s="99">
        <v>500</v>
      </c>
      <c r="E189" s="65">
        <v>500</v>
      </c>
      <c r="F189" s="66">
        <v>500</v>
      </c>
      <c r="G189" s="143">
        <f t="shared" si="4"/>
        <v>100</v>
      </c>
    </row>
    <row r="190" spans="1:7" s="185" customFormat="1" ht="15">
      <c r="A190" s="250"/>
      <c r="B190" s="278">
        <v>4359</v>
      </c>
      <c r="C190" s="279" t="s">
        <v>452</v>
      </c>
      <c r="D190" s="280">
        <v>100</v>
      </c>
      <c r="E190" s="70">
        <v>100</v>
      </c>
      <c r="F190" s="71">
        <v>100</v>
      </c>
      <c r="G190" s="143">
        <f t="shared" si="4"/>
        <v>100</v>
      </c>
    </row>
    <row r="191" spans="1:7" s="185" customFormat="1" ht="15">
      <c r="A191" s="87"/>
      <c r="B191" s="218">
        <v>4371</v>
      </c>
      <c r="C191" s="247" t="s">
        <v>453</v>
      </c>
      <c r="D191" s="99">
        <v>520</v>
      </c>
      <c r="E191" s="65">
        <v>520</v>
      </c>
      <c r="F191" s="66">
        <v>520</v>
      </c>
      <c r="G191" s="143">
        <f t="shared" si="4"/>
        <v>100</v>
      </c>
    </row>
    <row r="192" spans="1:7" s="185" customFormat="1" ht="15">
      <c r="A192" s="87"/>
      <c r="B192" s="218">
        <v>4374</v>
      </c>
      <c r="C192" s="87" t="s">
        <v>454</v>
      </c>
      <c r="D192" s="99">
        <v>300</v>
      </c>
      <c r="E192" s="65">
        <v>300</v>
      </c>
      <c r="F192" s="66">
        <v>300</v>
      </c>
      <c r="G192" s="143">
        <f t="shared" si="4"/>
        <v>100</v>
      </c>
    </row>
    <row r="193" spans="1:7" s="185" customFormat="1" ht="15">
      <c r="A193" s="250"/>
      <c r="B193" s="277">
        <v>4399</v>
      </c>
      <c r="C193" s="250" t="s">
        <v>455</v>
      </c>
      <c r="D193" s="280">
        <v>60</v>
      </c>
      <c r="E193" s="70">
        <v>332</v>
      </c>
      <c r="F193" s="71">
        <v>60</v>
      </c>
      <c r="G193" s="143">
        <f t="shared" si="4"/>
        <v>18.072289156626507</v>
      </c>
    </row>
    <row r="194" spans="1:7" s="185" customFormat="1" ht="15" hidden="1">
      <c r="A194" s="250"/>
      <c r="B194" s="277">
        <v>6402</v>
      </c>
      <c r="C194" s="250" t="s">
        <v>456</v>
      </c>
      <c r="D194" s="268"/>
      <c r="E194" s="269"/>
      <c r="F194" s="71"/>
      <c r="G194" s="143" t="e">
        <f>(#REF!/E194)*100</f>
        <v>#REF!</v>
      </c>
    </row>
    <row r="195" spans="1:7" s="185" customFormat="1" ht="15" customHeight="1" hidden="1">
      <c r="A195" s="250"/>
      <c r="B195" s="277">
        <v>6409</v>
      </c>
      <c r="C195" s="250" t="s">
        <v>457</v>
      </c>
      <c r="D195" s="268">
        <v>0</v>
      </c>
      <c r="E195" s="269">
        <v>0</v>
      </c>
      <c r="F195" s="273"/>
      <c r="G195" s="143" t="e">
        <f>(#REF!/E195)*100</f>
        <v>#REF!</v>
      </c>
    </row>
    <row r="196" spans="1:7" s="185" customFormat="1" ht="15" customHeight="1" thickBot="1">
      <c r="A196" s="250"/>
      <c r="B196" s="277"/>
      <c r="C196" s="250"/>
      <c r="D196" s="268"/>
      <c r="E196" s="269"/>
      <c r="F196" s="273"/>
      <c r="G196" s="143"/>
    </row>
    <row r="197" spans="1:7" s="185" customFormat="1" ht="18.75" customHeight="1" thickBot="1" thickTop="1">
      <c r="A197" s="262"/>
      <c r="B197" s="229"/>
      <c r="C197" s="230" t="s">
        <v>458</v>
      </c>
      <c r="D197" s="231">
        <f>SUM(D177:D196)</f>
        <v>13597</v>
      </c>
      <c r="E197" s="232">
        <f>SUM(E177:E196)</f>
        <v>14907</v>
      </c>
      <c r="F197" s="233">
        <f>SUM(F177:F196)</f>
        <v>13800.6</v>
      </c>
      <c r="G197" s="231">
        <f>(F197/E197)*100</f>
        <v>92.57798349768565</v>
      </c>
    </row>
    <row r="198" spans="1:7" s="185" customFormat="1" ht="15.75" customHeight="1">
      <c r="A198" s="184"/>
      <c r="B198" s="187"/>
      <c r="C198" s="234"/>
      <c r="D198" s="235"/>
      <c r="E198" s="235"/>
      <c r="F198" s="235"/>
      <c r="G198" s="235"/>
    </row>
    <row r="199" spans="1:7" s="185" customFormat="1" ht="15.75" customHeight="1">
      <c r="A199" s="184"/>
      <c r="B199" s="187"/>
      <c r="C199" s="234"/>
      <c r="D199" s="236"/>
      <c r="E199" s="236"/>
      <c r="F199" s="236"/>
      <c r="G199" s="236"/>
    </row>
    <row r="200" spans="1:7" s="185" customFormat="1" ht="12.75" customHeight="1" hidden="1">
      <c r="A200" s="184"/>
      <c r="C200" s="187"/>
      <c r="D200" s="236"/>
      <c r="E200" s="236"/>
      <c r="F200" s="236"/>
      <c r="G200" s="236"/>
    </row>
    <row r="201" spans="1:7" s="185" customFormat="1" ht="12.75" customHeight="1" hidden="1">
      <c r="A201" s="184"/>
      <c r="B201" s="187"/>
      <c r="C201" s="234"/>
      <c r="D201" s="236"/>
      <c r="E201" s="236"/>
      <c r="F201" s="236"/>
      <c r="G201" s="236"/>
    </row>
    <row r="202" spans="1:7" s="185" customFormat="1" ht="12.75" customHeight="1" hidden="1">
      <c r="A202" s="184"/>
      <c r="B202" s="187"/>
      <c r="C202" s="234"/>
      <c r="D202" s="236"/>
      <c r="E202" s="236"/>
      <c r="F202" s="236"/>
      <c r="G202" s="236"/>
    </row>
    <row r="203" spans="1:7" s="185" customFormat="1" ht="12.75" customHeight="1" hidden="1">
      <c r="A203" s="184"/>
      <c r="B203" s="187"/>
      <c r="C203" s="234"/>
      <c r="D203" s="236"/>
      <c r="E203" s="236"/>
      <c r="F203" s="236"/>
      <c r="G203" s="236"/>
    </row>
    <row r="204" spans="1:7" s="185" customFormat="1" ht="12.75" customHeight="1" hidden="1">
      <c r="A204" s="184"/>
      <c r="B204" s="187"/>
      <c r="C204" s="234"/>
      <c r="D204" s="236"/>
      <c r="E204" s="236"/>
      <c r="F204" s="236"/>
      <c r="G204" s="236"/>
    </row>
    <row r="205" spans="1:7" s="185" customFormat="1" ht="12.75" customHeight="1" hidden="1">
      <c r="A205" s="184"/>
      <c r="B205" s="187"/>
      <c r="C205" s="234"/>
      <c r="D205" s="236"/>
      <c r="E205" s="236"/>
      <c r="F205" s="236"/>
      <c r="G205" s="236"/>
    </row>
    <row r="206" spans="1:7" s="185" customFormat="1" ht="12.75" customHeight="1" hidden="1">
      <c r="A206" s="184"/>
      <c r="B206" s="187"/>
      <c r="C206" s="234"/>
      <c r="D206" s="236"/>
      <c r="E206" s="194"/>
      <c r="F206" s="194"/>
      <c r="G206" s="194"/>
    </row>
    <row r="207" spans="1:7" s="185" customFormat="1" ht="12.75" customHeight="1" hidden="1">
      <c r="A207" s="184"/>
      <c r="B207" s="187"/>
      <c r="C207" s="234"/>
      <c r="D207" s="236"/>
      <c r="E207" s="236"/>
      <c r="F207" s="236"/>
      <c r="G207" s="236"/>
    </row>
    <row r="208" spans="1:7" s="185" customFormat="1" ht="12.75" customHeight="1" hidden="1">
      <c r="A208" s="184"/>
      <c r="B208" s="187"/>
      <c r="C208" s="234"/>
      <c r="D208" s="236"/>
      <c r="E208" s="236"/>
      <c r="F208" s="236"/>
      <c r="G208" s="236"/>
    </row>
    <row r="209" spans="1:7" s="185" customFormat="1" ht="18" customHeight="1" hidden="1">
      <c r="A209" s="184"/>
      <c r="B209" s="187"/>
      <c r="C209" s="234"/>
      <c r="D209" s="236"/>
      <c r="E209" s="194"/>
      <c r="F209" s="194"/>
      <c r="G209" s="194"/>
    </row>
    <row r="210" spans="1:7" s="185" customFormat="1" ht="15.75" customHeight="1" thickBot="1">
      <c r="A210" s="184"/>
      <c r="B210" s="187"/>
      <c r="C210" s="234"/>
      <c r="D210" s="236"/>
      <c r="E210" s="201"/>
      <c r="F210" s="201"/>
      <c r="G210" s="201"/>
    </row>
    <row r="211" spans="1:7" s="185" customFormat="1" ht="15.75">
      <c r="A211" s="205" t="s">
        <v>25</v>
      </c>
      <c r="B211" s="206" t="s">
        <v>26</v>
      </c>
      <c r="C211" s="205" t="s">
        <v>28</v>
      </c>
      <c r="D211" s="205" t="s">
        <v>29</v>
      </c>
      <c r="E211" s="205" t="s">
        <v>29</v>
      </c>
      <c r="F211" s="53" t="s">
        <v>8</v>
      </c>
      <c r="G211" s="205" t="s">
        <v>312</v>
      </c>
    </row>
    <row r="212" spans="1:7" s="185" customFormat="1" ht="15.75" customHeight="1" thickBot="1">
      <c r="A212" s="207"/>
      <c r="B212" s="208"/>
      <c r="C212" s="209"/>
      <c r="D212" s="210" t="s">
        <v>31</v>
      </c>
      <c r="E212" s="210" t="s">
        <v>32</v>
      </c>
      <c r="F212" s="57" t="s">
        <v>33</v>
      </c>
      <c r="G212" s="210" t="s">
        <v>313</v>
      </c>
    </row>
    <row r="213" spans="1:7" s="185" customFormat="1" ht="16.5" thickTop="1">
      <c r="A213" s="211">
        <v>60</v>
      </c>
      <c r="B213" s="212"/>
      <c r="C213" s="213" t="s">
        <v>176</v>
      </c>
      <c r="D213" s="117"/>
      <c r="E213" s="115"/>
      <c r="F213" s="116"/>
      <c r="G213" s="117"/>
    </row>
    <row r="214" spans="1:7" s="185" customFormat="1" ht="15.75">
      <c r="A214" s="139"/>
      <c r="B214" s="217"/>
      <c r="C214" s="139"/>
      <c r="D214" s="143"/>
      <c r="E214" s="144"/>
      <c r="F214" s="142"/>
      <c r="G214" s="143"/>
    </row>
    <row r="215" spans="1:7" s="185" customFormat="1" ht="15">
      <c r="A215" s="87"/>
      <c r="B215" s="218">
        <v>1014</v>
      </c>
      <c r="C215" s="87" t="s">
        <v>459</v>
      </c>
      <c r="D215" s="64">
        <v>550</v>
      </c>
      <c r="E215" s="65">
        <v>576</v>
      </c>
      <c r="F215" s="66">
        <v>459</v>
      </c>
      <c r="G215" s="143">
        <f aca="true" t="shared" si="5" ref="G215:G225">(F215/E215)*100</f>
        <v>79.6875</v>
      </c>
    </row>
    <row r="216" spans="1:7" s="185" customFormat="1" ht="15" customHeight="1" hidden="1">
      <c r="A216" s="250"/>
      <c r="B216" s="277">
        <v>1031</v>
      </c>
      <c r="C216" s="250" t="s">
        <v>460</v>
      </c>
      <c r="D216" s="69"/>
      <c r="E216" s="70"/>
      <c r="F216" s="71"/>
      <c r="G216" s="143" t="e">
        <f t="shared" si="5"/>
        <v>#DIV/0!</v>
      </c>
    </row>
    <row r="217" spans="1:7" s="185" customFormat="1" ht="15">
      <c r="A217" s="87"/>
      <c r="B217" s="218">
        <v>1036</v>
      </c>
      <c r="C217" s="87" t="s">
        <v>461</v>
      </c>
      <c r="D217" s="64">
        <v>0</v>
      </c>
      <c r="E217" s="65">
        <v>70.3</v>
      </c>
      <c r="F217" s="66">
        <v>70.2</v>
      </c>
      <c r="G217" s="143">
        <f t="shared" si="5"/>
        <v>99.85775248933145</v>
      </c>
    </row>
    <row r="218" spans="1:7" s="185" customFormat="1" ht="15" customHeight="1">
      <c r="A218" s="250"/>
      <c r="B218" s="277">
        <v>1037</v>
      </c>
      <c r="C218" s="250" t="s">
        <v>462</v>
      </c>
      <c r="D218" s="69">
        <v>0</v>
      </c>
      <c r="E218" s="70">
        <v>68.3</v>
      </c>
      <c r="F218" s="71">
        <v>68.3</v>
      </c>
      <c r="G218" s="143">
        <f t="shared" si="5"/>
        <v>100</v>
      </c>
    </row>
    <row r="219" spans="1:7" s="185" customFormat="1" ht="15" hidden="1">
      <c r="A219" s="250"/>
      <c r="B219" s="277">
        <v>1039</v>
      </c>
      <c r="C219" s="250" t="s">
        <v>463</v>
      </c>
      <c r="D219" s="69">
        <v>0</v>
      </c>
      <c r="E219" s="70"/>
      <c r="F219" s="71"/>
      <c r="G219" s="143" t="e">
        <f t="shared" si="5"/>
        <v>#DIV/0!</v>
      </c>
    </row>
    <row r="220" spans="1:7" s="185" customFormat="1" ht="15">
      <c r="A220" s="250"/>
      <c r="B220" s="277">
        <v>1070</v>
      </c>
      <c r="C220" s="250" t="s">
        <v>464</v>
      </c>
      <c r="D220" s="69">
        <v>7</v>
      </c>
      <c r="E220" s="70">
        <v>6.5</v>
      </c>
      <c r="F220" s="71">
        <v>6.5</v>
      </c>
      <c r="G220" s="143">
        <f t="shared" si="5"/>
        <v>100</v>
      </c>
    </row>
    <row r="221" spans="1:7" s="185" customFormat="1" ht="15" hidden="1">
      <c r="A221" s="250"/>
      <c r="B221" s="277">
        <v>2331</v>
      </c>
      <c r="C221" s="250" t="s">
        <v>465</v>
      </c>
      <c r="D221" s="69"/>
      <c r="E221" s="70"/>
      <c r="F221" s="66"/>
      <c r="G221" s="143" t="e">
        <f t="shared" si="5"/>
        <v>#DIV/0!</v>
      </c>
    </row>
    <row r="222" spans="1:7" s="185" customFormat="1" ht="15">
      <c r="A222" s="250"/>
      <c r="B222" s="277">
        <v>3739</v>
      </c>
      <c r="C222" s="250" t="s">
        <v>466</v>
      </c>
      <c r="D222" s="64">
        <v>50</v>
      </c>
      <c r="E222" s="65">
        <v>50</v>
      </c>
      <c r="F222" s="66">
        <v>0</v>
      </c>
      <c r="G222" s="143">
        <f t="shared" si="5"/>
        <v>0</v>
      </c>
    </row>
    <row r="223" spans="1:7" s="185" customFormat="1" ht="15">
      <c r="A223" s="87"/>
      <c r="B223" s="218">
        <v>3749</v>
      </c>
      <c r="C223" s="87" t="s">
        <v>467</v>
      </c>
      <c r="D223" s="64">
        <v>50</v>
      </c>
      <c r="E223" s="65">
        <v>39</v>
      </c>
      <c r="F223" s="66">
        <v>31.6</v>
      </c>
      <c r="G223" s="143">
        <f t="shared" si="5"/>
        <v>81.02564102564102</v>
      </c>
    </row>
    <row r="224" spans="1:7" s="185" customFormat="1" ht="15">
      <c r="A224" s="87"/>
      <c r="B224" s="218">
        <v>5272</v>
      </c>
      <c r="C224" s="87" t="s">
        <v>468</v>
      </c>
      <c r="D224" s="64">
        <v>0</v>
      </c>
      <c r="E224" s="65">
        <v>100</v>
      </c>
      <c r="F224" s="66">
        <v>100</v>
      </c>
      <c r="G224" s="143">
        <f t="shared" si="5"/>
        <v>100</v>
      </c>
    </row>
    <row r="225" spans="1:7" s="185" customFormat="1" ht="15">
      <c r="A225" s="87"/>
      <c r="B225" s="218">
        <v>6171</v>
      </c>
      <c r="C225" s="87" t="s">
        <v>469</v>
      </c>
      <c r="D225" s="64">
        <v>0</v>
      </c>
      <c r="E225" s="65">
        <v>5.5</v>
      </c>
      <c r="F225" s="66">
        <v>5.2</v>
      </c>
      <c r="G225" s="143">
        <f t="shared" si="5"/>
        <v>94.54545454545455</v>
      </c>
    </row>
    <row r="226" spans="1:7" s="185" customFormat="1" ht="15.75" thickBot="1">
      <c r="A226" s="222"/>
      <c r="B226" s="281"/>
      <c r="C226" s="222"/>
      <c r="D226" s="268"/>
      <c r="E226" s="269"/>
      <c r="F226" s="273"/>
      <c r="G226" s="268"/>
    </row>
    <row r="227" spans="1:7" s="185" customFormat="1" ht="18.75" customHeight="1" thickBot="1" thickTop="1">
      <c r="A227" s="228"/>
      <c r="B227" s="282"/>
      <c r="C227" s="283" t="s">
        <v>470</v>
      </c>
      <c r="D227" s="231">
        <f>SUM(D213:D226)</f>
        <v>657</v>
      </c>
      <c r="E227" s="232">
        <f>SUM(E214:E226)</f>
        <v>915.5999999999999</v>
      </c>
      <c r="F227" s="233">
        <f>SUM(F213:F226)</f>
        <v>740.8000000000001</v>
      </c>
      <c r="G227" s="231">
        <f>(F227/E227)*100</f>
        <v>80.90869375273047</v>
      </c>
    </row>
    <row r="228" spans="1:7" s="185" customFormat="1" ht="12.75" customHeight="1">
      <c r="A228" s="184"/>
      <c r="B228" s="187"/>
      <c r="C228" s="234"/>
      <c r="D228" s="236"/>
      <c r="E228" s="236"/>
      <c r="F228" s="236"/>
      <c r="G228" s="236"/>
    </row>
    <row r="229" spans="1:7" s="185" customFormat="1" ht="12.75" customHeight="1" hidden="1">
      <c r="A229" s="184"/>
      <c r="B229" s="187"/>
      <c r="C229" s="234"/>
      <c r="D229" s="236"/>
      <c r="E229" s="236"/>
      <c r="F229" s="236"/>
      <c r="G229" s="236"/>
    </row>
    <row r="230" spans="1:7" s="185" customFormat="1" ht="12.75" customHeight="1" hidden="1">
      <c r="A230" s="184"/>
      <c r="B230" s="187"/>
      <c r="C230" s="234"/>
      <c r="D230" s="236"/>
      <c r="E230" s="236"/>
      <c r="F230" s="236"/>
      <c r="G230" s="236"/>
    </row>
    <row r="231" spans="1:7" s="185" customFormat="1" ht="12.75" customHeight="1" hidden="1">
      <c r="A231" s="184"/>
      <c r="B231" s="187"/>
      <c r="C231" s="234"/>
      <c r="D231" s="236"/>
      <c r="E231" s="236"/>
      <c r="F231" s="236"/>
      <c r="G231" s="236"/>
    </row>
    <row r="232" s="185" customFormat="1" ht="12.75" customHeight="1" hidden="1">
      <c r="B232" s="237"/>
    </row>
    <row r="233" s="185" customFormat="1" ht="12.75" customHeight="1">
      <c r="B233" s="237"/>
    </row>
    <row r="234" s="185" customFormat="1" ht="12.75" customHeight="1" thickBot="1">
      <c r="B234" s="237"/>
    </row>
    <row r="235" spans="1:7" s="185" customFormat="1" ht="15.75">
      <c r="A235" s="205" t="s">
        <v>25</v>
      </c>
      <c r="B235" s="206" t="s">
        <v>26</v>
      </c>
      <c r="C235" s="205" t="s">
        <v>28</v>
      </c>
      <c r="D235" s="205" t="s">
        <v>29</v>
      </c>
      <c r="E235" s="205" t="s">
        <v>29</v>
      </c>
      <c r="F235" s="53" t="s">
        <v>8</v>
      </c>
      <c r="G235" s="205" t="s">
        <v>312</v>
      </c>
    </row>
    <row r="236" spans="1:7" s="185" customFormat="1" ht="15.75" customHeight="1" thickBot="1">
      <c r="A236" s="207"/>
      <c r="B236" s="208"/>
      <c r="C236" s="209"/>
      <c r="D236" s="210" t="s">
        <v>31</v>
      </c>
      <c r="E236" s="210" t="s">
        <v>32</v>
      </c>
      <c r="F236" s="57" t="s">
        <v>33</v>
      </c>
      <c r="G236" s="210" t="s">
        <v>313</v>
      </c>
    </row>
    <row r="237" spans="1:7" s="185" customFormat="1" ht="16.5" thickTop="1">
      <c r="A237" s="211">
        <v>80</v>
      </c>
      <c r="B237" s="211"/>
      <c r="C237" s="213" t="s">
        <v>190</v>
      </c>
      <c r="D237" s="117"/>
      <c r="E237" s="115"/>
      <c r="F237" s="116"/>
      <c r="G237" s="117"/>
    </row>
    <row r="238" spans="1:7" s="185" customFormat="1" ht="15.75">
      <c r="A238" s="139"/>
      <c r="B238" s="266"/>
      <c r="C238" s="139"/>
      <c r="D238" s="143"/>
      <c r="E238" s="144"/>
      <c r="F238" s="142"/>
      <c r="G238" s="143"/>
    </row>
    <row r="239" spans="1:7" s="185" customFormat="1" ht="15">
      <c r="A239" s="87"/>
      <c r="B239" s="267">
        <v>2219</v>
      </c>
      <c r="C239" s="87" t="s">
        <v>471</v>
      </c>
      <c r="D239" s="147">
        <v>3370</v>
      </c>
      <c r="E239" s="65">
        <v>3531</v>
      </c>
      <c r="F239" s="66">
        <v>3167.5</v>
      </c>
      <c r="G239" s="143">
        <f>(F239/E239)*100</f>
        <v>89.70546587369017</v>
      </c>
    </row>
    <row r="240" spans="1:82" s="184" customFormat="1" ht="15">
      <c r="A240" s="87"/>
      <c r="B240" s="267">
        <v>2221</v>
      </c>
      <c r="C240" s="87" t="s">
        <v>472</v>
      </c>
      <c r="D240" s="147">
        <v>17086</v>
      </c>
      <c r="E240" s="65">
        <v>17436</v>
      </c>
      <c r="F240" s="66">
        <v>14412.3</v>
      </c>
      <c r="G240" s="143">
        <f>(F240/E240)*100</f>
        <v>82.65829318651066</v>
      </c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5"/>
      <c r="BS240" s="185"/>
      <c r="BT240" s="185"/>
      <c r="BU240" s="185"/>
      <c r="BV240" s="185"/>
      <c r="BW240" s="185"/>
      <c r="BX240" s="185"/>
      <c r="BY240" s="185"/>
      <c r="BZ240" s="185"/>
      <c r="CA240" s="185"/>
      <c r="CB240" s="185"/>
      <c r="CC240" s="185"/>
      <c r="CD240" s="185"/>
    </row>
    <row r="241" spans="1:82" s="184" customFormat="1" ht="15">
      <c r="A241" s="87"/>
      <c r="B241" s="267">
        <v>2232</v>
      </c>
      <c r="C241" s="87" t="s">
        <v>473</v>
      </c>
      <c r="D241" s="64">
        <v>260</v>
      </c>
      <c r="E241" s="65">
        <v>260</v>
      </c>
      <c r="F241" s="66">
        <v>260</v>
      </c>
      <c r="G241" s="143">
        <f>(F241/E241)*100</f>
        <v>100</v>
      </c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5"/>
      <c r="BN241" s="185"/>
      <c r="BO241" s="185"/>
      <c r="BP241" s="185"/>
      <c r="BQ241" s="185"/>
      <c r="BR241" s="185"/>
      <c r="BS241" s="185"/>
      <c r="BT241" s="185"/>
      <c r="BU241" s="185"/>
      <c r="BV241" s="185"/>
      <c r="BW241" s="185"/>
      <c r="BX241" s="185"/>
      <c r="BY241" s="185"/>
      <c r="BZ241" s="185"/>
      <c r="CA241" s="185"/>
      <c r="CB241" s="185"/>
      <c r="CC241" s="185"/>
      <c r="CD241" s="185"/>
    </row>
    <row r="242" spans="1:82" s="184" customFormat="1" ht="15">
      <c r="A242" s="250"/>
      <c r="B242" s="251">
        <v>6171</v>
      </c>
      <c r="C242" s="250" t="s">
        <v>474</v>
      </c>
      <c r="D242" s="143">
        <v>0</v>
      </c>
      <c r="E242" s="144">
        <v>0</v>
      </c>
      <c r="F242" s="142">
        <v>27</v>
      </c>
      <c r="G242" s="143" t="e">
        <f>(F242/E242)*100</f>
        <v>#DIV/0!</v>
      </c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  <c r="BY242" s="185"/>
      <c r="BZ242" s="185"/>
      <c r="CA242" s="185"/>
      <c r="CB242" s="185"/>
      <c r="CC242" s="185"/>
      <c r="CD242" s="185"/>
    </row>
    <row r="243" spans="1:82" s="184" customFormat="1" ht="15.75" thickBot="1">
      <c r="A243" s="272"/>
      <c r="B243" s="271"/>
      <c r="C243" s="272"/>
      <c r="D243" s="225"/>
      <c r="E243" s="226"/>
      <c r="F243" s="227"/>
      <c r="G243" s="22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5"/>
      <c r="BQ243" s="185"/>
      <c r="BR243" s="185"/>
      <c r="BS243" s="185"/>
      <c r="BT243" s="185"/>
      <c r="BU243" s="185"/>
      <c r="BV243" s="185"/>
      <c r="BW243" s="185"/>
      <c r="BX243" s="185"/>
      <c r="BY243" s="185"/>
      <c r="BZ243" s="185"/>
      <c r="CA243" s="185"/>
      <c r="CB243" s="185"/>
      <c r="CC243" s="185"/>
      <c r="CD243" s="185"/>
    </row>
    <row r="244" spans="1:82" s="184" customFormat="1" ht="18.75" customHeight="1" thickBot="1" thickTop="1">
      <c r="A244" s="228"/>
      <c r="B244" s="284"/>
      <c r="C244" s="283" t="s">
        <v>475</v>
      </c>
      <c r="D244" s="231">
        <f>SUM(D239:D242)</f>
        <v>20716</v>
      </c>
      <c r="E244" s="232">
        <f>SUM(E239:E242)</f>
        <v>21227</v>
      </c>
      <c r="F244" s="233">
        <f>SUM(F239:F242)</f>
        <v>17866.8</v>
      </c>
      <c r="G244" s="231">
        <f>(F244/E244)*100</f>
        <v>84.17016064446223</v>
      </c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5"/>
      <c r="BN244" s="185"/>
      <c r="BO244" s="185"/>
      <c r="BP244" s="185"/>
      <c r="BQ244" s="185"/>
      <c r="BR244" s="185"/>
      <c r="BS244" s="185"/>
      <c r="BT244" s="185"/>
      <c r="BU244" s="185"/>
      <c r="BV244" s="185"/>
      <c r="BW244" s="185"/>
      <c r="BX244" s="185"/>
      <c r="BY244" s="185"/>
      <c r="BZ244" s="185"/>
      <c r="CA244" s="185"/>
      <c r="CB244" s="185"/>
      <c r="CC244" s="185"/>
      <c r="CD244" s="185"/>
    </row>
    <row r="245" spans="2:82" s="184" customFormat="1" ht="15.75" customHeight="1">
      <c r="B245" s="187"/>
      <c r="C245" s="234"/>
      <c r="D245" s="236"/>
      <c r="E245" s="236"/>
      <c r="F245" s="236"/>
      <c r="G245" s="236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5"/>
      <c r="BN245" s="185"/>
      <c r="BO245" s="185"/>
      <c r="BP245" s="185"/>
      <c r="BQ245" s="185"/>
      <c r="BR245" s="185"/>
      <c r="BS245" s="185"/>
      <c r="BT245" s="185"/>
      <c r="BU245" s="185"/>
      <c r="BV245" s="185"/>
      <c r="BW245" s="185"/>
      <c r="BX245" s="185"/>
      <c r="BY245" s="185"/>
      <c r="BZ245" s="185"/>
      <c r="CA245" s="185"/>
      <c r="CB245" s="185"/>
      <c r="CC245" s="185"/>
      <c r="CD245" s="185"/>
    </row>
    <row r="246" spans="2:82" s="184" customFormat="1" ht="12.75" customHeight="1" hidden="1">
      <c r="B246" s="187"/>
      <c r="C246" s="234"/>
      <c r="D246" s="236"/>
      <c r="E246" s="236"/>
      <c r="F246" s="236"/>
      <c r="G246" s="236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85"/>
      <c r="BN246" s="185"/>
      <c r="BO246" s="185"/>
      <c r="BP246" s="185"/>
      <c r="BQ246" s="185"/>
      <c r="BR246" s="185"/>
      <c r="BS246" s="185"/>
      <c r="BT246" s="185"/>
      <c r="BU246" s="185"/>
      <c r="BV246" s="185"/>
      <c r="BW246" s="185"/>
      <c r="BX246" s="185"/>
      <c r="BY246" s="185"/>
      <c r="BZ246" s="185"/>
      <c r="CA246" s="185"/>
      <c r="CB246" s="185"/>
      <c r="CC246" s="185"/>
      <c r="CD246" s="185"/>
    </row>
    <row r="247" spans="2:82" s="184" customFormat="1" ht="12.75" customHeight="1" hidden="1">
      <c r="B247" s="187"/>
      <c r="C247" s="234"/>
      <c r="D247" s="236"/>
      <c r="E247" s="236"/>
      <c r="F247" s="236"/>
      <c r="G247" s="236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85"/>
      <c r="BN247" s="185"/>
      <c r="BO247" s="185"/>
      <c r="BP247" s="185"/>
      <c r="BQ247" s="185"/>
      <c r="BR247" s="185"/>
      <c r="BS247" s="185"/>
      <c r="BT247" s="185"/>
      <c r="BU247" s="185"/>
      <c r="BV247" s="185"/>
      <c r="BW247" s="185"/>
      <c r="BX247" s="185"/>
      <c r="BY247" s="185"/>
      <c r="BZ247" s="185"/>
      <c r="CA247" s="185"/>
      <c r="CB247" s="185"/>
      <c r="CC247" s="185"/>
      <c r="CD247" s="185"/>
    </row>
    <row r="248" spans="2:82" s="184" customFormat="1" ht="12.75" customHeight="1" hidden="1">
      <c r="B248" s="187"/>
      <c r="C248" s="234"/>
      <c r="D248" s="236"/>
      <c r="E248" s="236"/>
      <c r="F248" s="236"/>
      <c r="G248" s="236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5"/>
      <c r="BN248" s="185"/>
      <c r="BO248" s="185"/>
      <c r="BP248" s="185"/>
      <c r="BQ248" s="185"/>
      <c r="BR248" s="185"/>
      <c r="BS248" s="185"/>
      <c r="BT248" s="185"/>
      <c r="BU248" s="185"/>
      <c r="BV248" s="185"/>
      <c r="BW248" s="185"/>
      <c r="BX248" s="185"/>
      <c r="BY248" s="185"/>
      <c r="BZ248" s="185"/>
      <c r="CA248" s="185"/>
      <c r="CB248" s="185"/>
      <c r="CC248" s="185"/>
      <c r="CD248" s="185"/>
    </row>
    <row r="249" spans="2:82" s="184" customFormat="1" ht="12.75" customHeight="1" hidden="1">
      <c r="B249" s="187"/>
      <c r="C249" s="234"/>
      <c r="D249" s="236"/>
      <c r="E249" s="236"/>
      <c r="F249" s="236"/>
      <c r="G249" s="236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5"/>
      <c r="BN249" s="185"/>
      <c r="BO249" s="185"/>
      <c r="BP249" s="185"/>
      <c r="BQ249" s="185"/>
      <c r="BR249" s="185"/>
      <c r="BS249" s="185"/>
      <c r="BT249" s="185"/>
      <c r="BU249" s="185"/>
      <c r="BV249" s="185"/>
      <c r="BW249" s="185"/>
      <c r="BX249" s="185"/>
      <c r="BY249" s="185"/>
      <c r="BZ249" s="185"/>
      <c r="CA249" s="185"/>
      <c r="CB249" s="185"/>
      <c r="CC249" s="185"/>
      <c r="CD249" s="185"/>
    </row>
    <row r="250" spans="2:82" s="184" customFormat="1" ht="12.75" customHeight="1" hidden="1">
      <c r="B250" s="187"/>
      <c r="C250" s="234"/>
      <c r="D250" s="236"/>
      <c r="E250" s="236"/>
      <c r="F250" s="236"/>
      <c r="G250" s="236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185"/>
      <c r="BN250" s="185"/>
      <c r="BO250" s="185"/>
      <c r="BP250" s="185"/>
      <c r="BQ250" s="185"/>
      <c r="BR250" s="185"/>
      <c r="BS250" s="185"/>
      <c r="BT250" s="185"/>
      <c r="BU250" s="185"/>
      <c r="BV250" s="185"/>
      <c r="BW250" s="185"/>
      <c r="BX250" s="185"/>
      <c r="BY250" s="185"/>
      <c r="BZ250" s="185"/>
      <c r="CA250" s="185"/>
      <c r="CB250" s="185"/>
      <c r="CC250" s="185"/>
      <c r="CD250" s="185"/>
    </row>
    <row r="251" spans="2:82" s="184" customFormat="1" ht="12.75" customHeight="1" hidden="1">
      <c r="B251" s="187"/>
      <c r="C251" s="234"/>
      <c r="D251" s="236"/>
      <c r="E251" s="236"/>
      <c r="F251" s="236"/>
      <c r="G251" s="236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  <c r="BI251" s="185"/>
      <c r="BJ251" s="185"/>
      <c r="BK251" s="185"/>
      <c r="BL251" s="185"/>
      <c r="BM251" s="185"/>
      <c r="BN251" s="185"/>
      <c r="BO251" s="185"/>
      <c r="BP251" s="185"/>
      <c r="BQ251" s="185"/>
      <c r="BR251" s="185"/>
      <c r="BS251" s="185"/>
      <c r="BT251" s="185"/>
      <c r="BU251" s="185"/>
      <c r="BV251" s="185"/>
      <c r="BW251" s="185"/>
      <c r="BX251" s="185"/>
      <c r="BY251" s="185"/>
      <c r="BZ251" s="185"/>
      <c r="CA251" s="185"/>
      <c r="CB251" s="185"/>
      <c r="CC251" s="185"/>
      <c r="CD251" s="185"/>
    </row>
    <row r="252" spans="2:82" s="184" customFormat="1" ht="12.75" customHeight="1" hidden="1">
      <c r="B252" s="187"/>
      <c r="C252" s="234"/>
      <c r="D252" s="236"/>
      <c r="E252" s="236"/>
      <c r="F252" s="236"/>
      <c r="G252" s="236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  <c r="BI252" s="185"/>
      <c r="BJ252" s="185"/>
      <c r="BK252" s="185"/>
      <c r="BL252" s="185"/>
      <c r="BM252" s="185"/>
      <c r="BN252" s="185"/>
      <c r="BO252" s="185"/>
      <c r="BP252" s="185"/>
      <c r="BQ252" s="185"/>
      <c r="BR252" s="185"/>
      <c r="BS252" s="185"/>
      <c r="BT252" s="185"/>
      <c r="BU252" s="185"/>
      <c r="BV252" s="185"/>
      <c r="BW252" s="185"/>
      <c r="BX252" s="185"/>
      <c r="BY252" s="185"/>
      <c r="BZ252" s="185"/>
      <c r="CA252" s="185"/>
      <c r="CB252" s="185"/>
      <c r="CC252" s="185"/>
      <c r="CD252" s="185"/>
    </row>
    <row r="253" spans="2:82" s="184" customFormat="1" ht="15.75" customHeight="1">
      <c r="B253" s="187"/>
      <c r="C253" s="234"/>
      <c r="D253" s="236"/>
      <c r="E253" s="194"/>
      <c r="F253" s="194"/>
      <c r="G253" s="194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85"/>
      <c r="AT253" s="185"/>
      <c r="AU253" s="185"/>
      <c r="AV253" s="185"/>
      <c r="AW253" s="185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5"/>
      <c r="BI253" s="185"/>
      <c r="BJ253" s="185"/>
      <c r="BK253" s="185"/>
      <c r="BL253" s="185"/>
      <c r="BM253" s="185"/>
      <c r="BN253" s="185"/>
      <c r="BO253" s="185"/>
      <c r="BP253" s="185"/>
      <c r="BQ253" s="185"/>
      <c r="BR253" s="185"/>
      <c r="BS253" s="185"/>
      <c r="BT253" s="185"/>
      <c r="BU253" s="185"/>
      <c r="BV253" s="185"/>
      <c r="BW253" s="185"/>
      <c r="BX253" s="185"/>
      <c r="BY253" s="185"/>
      <c r="BZ253" s="185"/>
      <c r="CA253" s="185"/>
      <c r="CB253" s="185"/>
      <c r="CC253" s="185"/>
      <c r="CD253" s="185"/>
    </row>
    <row r="254" spans="2:82" s="184" customFormat="1" ht="15.75" customHeight="1">
      <c r="B254" s="187"/>
      <c r="C254" s="234"/>
      <c r="D254" s="236"/>
      <c r="E254" s="236"/>
      <c r="F254" s="236"/>
      <c r="G254" s="236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5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  <c r="BI254" s="185"/>
      <c r="BJ254" s="185"/>
      <c r="BK254" s="185"/>
      <c r="BL254" s="185"/>
      <c r="BM254" s="185"/>
      <c r="BN254" s="185"/>
      <c r="BO254" s="185"/>
      <c r="BP254" s="185"/>
      <c r="BQ254" s="185"/>
      <c r="BR254" s="185"/>
      <c r="BS254" s="185"/>
      <c r="BT254" s="185"/>
      <c r="BU254" s="185"/>
      <c r="BV254" s="185"/>
      <c r="BW254" s="185"/>
      <c r="BX254" s="185"/>
      <c r="BY254" s="185"/>
      <c r="BZ254" s="185"/>
      <c r="CA254" s="185"/>
      <c r="CB254" s="185"/>
      <c r="CC254" s="185"/>
      <c r="CD254" s="185"/>
    </row>
    <row r="255" spans="2:82" s="184" customFormat="1" ht="15.75" customHeight="1" thickBot="1">
      <c r="B255" s="187"/>
      <c r="C255" s="234"/>
      <c r="D255" s="236"/>
      <c r="E255" s="201"/>
      <c r="F255" s="201"/>
      <c r="G255" s="201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85"/>
      <c r="BN255" s="185"/>
      <c r="BO255" s="185"/>
      <c r="BP255" s="185"/>
      <c r="BQ255" s="185"/>
      <c r="BR255" s="185"/>
      <c r="BS255" s="185"/>
      <c r="BT255" s="185"/>
      <c r="BU255" s="185"/>
      <c r="BV255" s="185"/>
      <c r="BW255" s="185"/>
      <c r="BX255" s="185"/>
      <c r="BY255" s="185"/>
      <c r="BZ255" s="185"/>
      <c r="CA255" s="185"/>
      <c r="CB255" s="185"/>
      <c r="CC255" s="185"/>
      <c r="CD255" s="185"/>
    </row>
    <row r="256" spans="1:82" s="184" customFormat="1" ht="15.75" customHeight="1">
      <c r="A256" s="205" t="s">
        <v>25</v>
      </c>
      <c r="B256" s="206" t="s">
        <v>26</v>
      </c>
      <c r="C256" s="205" t="s">
        <v>28</v>
      </c>
      <c r="D256" s="205" t="s">
        <v>29</v>
      </c>
      <c r="E256" s="205" t="s">
        <v>29</v>
      </c>
      <c r="F256" s="53" t="s">
        <v>8</v>
      </c>
      <c r="G256" s="205" t="s">
        <v>312</v>
      </c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  <c r="BM256" s="185"/>
      <c r="BN256" s="185"/>
      <c r="BO256" s="185"/>
      <c r="BP256" s="185"/>
      <c r="BQ256" s="185"/>
      <c r="BR256" s="185"/>
      <c r="BS256" s="185"/>
      <c r="BT256" s="185"/>
      <c r="BU256" s="185"/>
      <c r="BV256" s="185"/>
      <c r="BW256" s="185"/>
      <c r="BX256" s="185"/>
      <c r="BY256" s="185"/>
      <c r="BZ256" s="185"/>
      <c r="CA256" s="185"/>
      <c r="CB256" s="185"/>
      <c r="CC256" s="185"/>
      <c r="CD256" s="185"/>
    </row>
    <row r="257" spans="1:7" s="185" customFormat="1" ht="15.75" customHeight="1" thickBot="1">
      <c r="A257" s="207"/>
      <c r="B257" s="208"/>
      <c r="C257" s="209"/>
      <c r="D257" s="210" t="s">
        <v>31</v>
      </c>
      <c r="E257" s="210" t="s">
        <v>32</v>
      </c>
      <c r="F257" s="57" t="s">
        <v>33</v>
      </c>
      <c r="G257" s="210" t="s">
        <v>313</v>
      </c>
    </row>
    <row r="258" spans="1:7" s="185" customFormat="1" ht="16.5" thickTop="1">
      <c r="A258" s="211">
        <v>90</v>
      </c>
      <c r="B258" s="211"/>
      <c r="C258" s="213" t="s">
        <v>204</v>
      </c>
      <c r="D258" s="117"/>
      <c r="E258" s="115"/>
      <c r="F258" s="116"/>
      <c r="G258" s="117"/>
    </row>
    <row r="259" spans="1:7" s="185" customFormat="1" ht="15.75">
      <c r="A259" s="139"/>
      <c r="B259" s="266"/>
      <c r="C259" s="139"/>
      <c r="D259" s="143"/>
      <c r="E259" s="144"/>
      <c r="F259" s="142"/>
      <c r="G259" s="143"/>
    </row>
    <row r="260" spans="1:7" s="185" customFormat="1" ht="15">
      <c r="A260" s="87"/>
      <c r="B260" s="267">
        <v>5311</v>
      </c>
      <c r="C260" s="87" t="s">
        <v>476</v>
      </c>
      <c r="D260" s="143">
        <v>18862</v>
      </c>
      <c r="E260" s="144">
        <v>19963</v>
      </c>
      <c r="F260" s="142">
        <v>15538.6</v>
      </c>
      <c r="G260" s="143">
        <f>(F260/E260)*100</f>
        <v>77.83699844712719</v>
      </c>
    </row>
    <row r="261" spans="1:7" s="185" customFormat="1" ht="16.5" thickBot="1">
      <c r="A261" s="270"/>
      <c r="B261" s="270"/>
      <c r="C261" s="285"/>
      <c r="D261" s="286"/>
      <c r="E261" s="287"/>
      <c r="F261" s="288"/>
      <c r="G261" s="286"/>
    </row>
    <row r="262" spans="1:7" s="185" customFormat="1" ht="18.75" customHeight="1" thickBot="1" thickTop="1">
      <c r="A262" s="228"/>
      <c r="B262" s="284"/>
      <c r="C262" s="283" t="s">
        <v>477</v>
      </c>
      <c r="D262" s="231">
        <f>SUM(D258:D261)</f>
        <v>18862</v>
      </c>
      <c r="E262" s="232">
        <f>SUM(E258:E261)</f>
        <v>19963</v>
      </c>
      <c r="F262" s="233">
        <f>SUM(F258:F261)</f>
        <v>15538.6</v>
      </c>
      <c r="G262" s="231">
        <f>(F262/E262)*100</f>
        <v>77.83699844712719</v>
      </c>
    </row>
    <row r="263" spans="1:7" s="185" customFormat="1" ht="15.75" customHeight="1">
      <c r="A263" s="184"/>
      <c r="B263" s="187"/>
      <c r="C263" s="234"/>
      <c r="D263" s="236"/>
      <c r="E263" s="236"/>
      <c r="F263" s="236"/>
      <c r="G263" s="236"/>
    </row>
    <row r="264" spans="1:7" s="185" customFormat="1" ht="15.75" customHeight="1" thickBot="1">
      <c r="A264" s="184"/>
      <c r="B264" s="187"/>
      <c r="C264" s="234"/>
      <c r="D264" s="236"/>
      <c r="E264" s="236"/>
      <c r="F264" s="236"/>
      <c r="G264" s="236"/>
    </row>
    <row r="265" spans="1:82" s="184" customFormat="1" ht="15.75" customHeight="1">
      <c r="A265" s="205" t="s">
        <v>25</v>
      </c>
      <c r="B265" s="206" t="s">
        <v>26</v>
      </c>
      <c r="C265" s="205" t="s">
        <v>28</v>
      </c>
      <c r="D265" s="205" t="s">
        <v>29</v>
      </c>
      <c r="E265" s="205" t="s">
        <v>29</v>
      </c>
      <c r="F265" s="53" t="s">
        <v>8</v>
      </c>
      <c r="G265" s="205" t="s">
        <v>312</v>
      </c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  <c r="BH265" s="185"/>
      <c r="BI265" s="185"/>
      <c r="BJ265" s="185"/>
      <c r="BK265" s="185"/>
      <c r="BL265" s="185"/>
      <c r="BM265" s="185"/>
      <c r="BN265" s="185"/>
      <c r="BO265" s="185"/>
      <c r="BP265" s="185"/>
      <c r="BQ265" s="185"/>
      <c r="BR265" s="185"/>
      <c r="BS265" s="185"/>
      <c r="BT265" s="185"/>
      <c r="BU265" s="185"/>
      <c r="BV265" s="185"/>
      <c r="BW265" s="185"/>
      <c r="BX265" s="185"/>
      <c r="BY265" s="185"/>
      <c r="BZ265" s="185"/>
      <c r="CA265" s="185"/>
      <c r="CB265" s="185"/>
      <c r="CC265" s="185"/>
      <c r="CD265" s="185"/>
    </row>
    <row r="266" spans="1:7" s="185" customFormat="1" ht="15.75" customHeight="1" thickBot="1">
      <c r="A266" s="207"/>
      <c r="B266" s="208"/>
      <c r="C266" s="209"/>
      <c r="D266" s="210" t="s">
        <v>31</v>
      </c>
      <c r="E266" s="210" t="s">
        <v>32</v>
      </c>
      <c r="F266" s="57" t="s">
        <v>33</v>
      </c>
      <c r="G266" s="210" t="s">
        <v>313</v>
      </c>
    </row>
    <row r="267" spans="1:7" s="185" customFormat="1" ht="16.5" thickTop="1">
      <c r="A267" s="211">
        <v>100</v>
      </c>
      <c r="B267" s="211"/>
      <c r="C267" s="139" t="s">
        <v>212</v>
      </c>
      <c r="D267" s="117"/>
      <c r="E267" s="115"/>
      <c r="F267" s="116"/>
      <c r="G267" s="117"/>
    </row>
    <row r="268" spans="1:7" s="185" customFormat="1" ht="15.75">
      <c r="A268" s="139"/>
      <c r="B268" s="266"/>
      <c r="C268" s="139"/>
      <c r="D268" s="143"/>
      <c r="E268" s="144"/>
      <c r="F268" s="142"/>
      <c r="G268" s="143"/>
    </row>
    <row r="269" spans="1:7" s="185" customFormat="1" ht="15.75">
      <c r="A269" s="139"/>
      <c r="B269" s="266"/>
      <c r="C269" s="139"/>
      <c r="D269" s="143"/>
      <c r="E269" s="144"/>
      <c r="F269" s="142"/>
      <c r="G269" s="143"/>
    </row>
    <row r="270" spans="1:7" s="185" customFormat="1" ht="15.75">
      <c r="A270" s="266"/>
      <c r="B270" s="289">
        <v>2169</v>
      </c>
      <c r="C270" s="290" t="s">
        <v>478</v>
      </c>
      <c r="D270" s="99">
        <v>300</v>
      </c>
      <c r="E270" s="65">
        <v>266</v>
      </c>
      <c r="F270" s="66">
        <v>16.6</v>
      </c>
      <c r="G270" s="143">
        <f>(F270/E270)*100</f>
        <v>6.240601503759399</v>
      </c>
    </row>
    <row r="271" spans="1:7" s="185" customFormat="1" ht="16.5" thickBot="1">
      <c r="A271" s="270"/>
      <c r="B271" s="291"/>
      <c r="C271" s="292"/>
      <c r="D271" s="293"/>
      <c r="E271" s="158"/>
      <c r="F271" s="159"/>
      <c r="G271" s="143"/>
    </row>
    <row r="272" spans="1:7" s="185" customFormat="1" ht="18.75" customHeight="1" thickBot="1" thickTop="1">
      <c r="A272" s="228"/>
      <c r="B272" s="284"/>
      <c r="C272" s="283" t="s">
        <v>479</v>
      </c>
      <c r="D272" s="231">
        <f>SUM(D267:D271)</f>
        <v>300</v>
      </c>
      <c r="E272" s="232">
        <f>SUM(E267:E271)</f>
        <v>266</v>
      </c>
      <c r="F272" s="233">
        <f>SUM(F267:F271)</f>
        <v>16.6</v>
      </c>
      <c r="G272" s="231">
        <f>(F272/E272)*100</f>
        <v>6.240601503759399</v>
      </c>
    </row>
    <row r="273" spans="1:7" s="185" customFormat="1" ht="15.75" customHeight="1">
      <c r="A273" s="184"/>
      <c r="B273" s="187"/>
      <c r="C273" s="234"/>
      <c r="D273" s="236"/>
      <c r="E273" s="236"/>
      <c r="F273" s="236"/>
      <c r="G273" s="236"/>
    </row>
    <row r="274" spans="1:7" s="185" customFormat="1" ht="15.75" customHeight="1">
      <c r="A274" s="184"/>
      <c r="B274" s="187"/>
      <c r="C274" s="234"/>
      <c r="D274" s="236"/>
      <c r="E274" s="236"/>
      <c r="F274" s="236"/>
      <c r="G274" s="236"/>
    </row>
    <row r="275" s="185" customFormat="1" ht="15.75" customHeight="1" thickBot="1">
      <c r="B275" s="237"/>
    </row>
    <row r="276" spans="1:7" s="185" customFormat="1" ht="15.75">
      <c r="A276" s="205" t="s">
        <v>25</v>
      </c>
      <c r="B276" s="206" t="s">
        <v>26</v>
      </c>
      <c r="C276" s="205" t="s">
        <v>28</v>
      </c>
      <c r="D276" s="205" t="s">
        <v>29</v>
      </c>
      <c r="E276" s="205" t="s">
        <v>29</v>
      </c>
      <c r="F276" s="53" t="s">
        <v>8</v>
      </c>
      <c r="G276" s="205" t="s">
        <v>312</v>
      </c>
    </row>
    <row r="277" spans="1:7" s="185" customFormat="1" ht="15.75" customHeight="1" thickBot="1">
      <c r="A277" s="207"/>
      <c r="B277" s="208"/>
      <c r="C277" s="209"/>
      <c r="D277" s="210" t="s">
        <v>31</v>
      </c>
      <c r="E277" s="210" t="s">
        <v>32</v>
      </c>
      <c r="F277" s="57" t="s">
        <v>33</v>
      </c>
      <c r="G277" s="210" t="s">
        <v>313</v>
      </c>
    </row>
    <row r="278" spans="1:7" s="185" customFormat="1" ht="16.5" thickTop="1">
      <c r="A278" s="211">
        <v>110</v>
      </c>
      <c r="B278" s="211"/>
      <c r="C278" s="213" t="s">
        <v>217</v>
      </c>
      <c r="D278" s="117"/>
      <c r="E278" s="115"/>
      <c r="F278" s="116"/>
      <c r="G278" s="117"/>
    </row>
    <row r="279" spans="1:7" s="185" customFormat="1" ht="15" customHeight="1">
      <c r="A279" s="139"/>
      <c r="B279" s="266"/>
      <c r="C279" s="139"/>
      <c r="D279" s="143"/>
      <c r="E279" s="144"/>
      <c r="F279" s="142"/>
      <c r="G279" s="143"/>
    </row>
    <row r="280" spans="1:7" s="185" customFormat="1" ht="15" customHeight="1">
      <c r="A280" s="87"/>
      <c r="B280" s="267">
        <v>6171</v>
      </c>
      <c r="C280" s="87" t="s">
        <v>480</v>
      </c>
      <c r="D280" s="143">
        <v>0</v>
      </c>
      <c r="E280" s="144">
        <v>0</v>
      </c>
      <c r="F280" s="273">
        <v>5</v>
      </c>
      <c r="G280" s="143" t="e">
        <f aca="true" t="shared" si="6" ref="G280:G285">(F280/E280)*100</f>
        <v>#DIV/0!</v>
      </c>
    </row>
    <row r="281" spans="1:7" s="185" customFormat="1" ht="15">
      <c r="A281" s="87"/>
      <c r="B281" s="267">
        <v>6310</v>
      </c>
      <c r="C281" s="87" t="s">
        <v>481</v>
      </c>
      <c r="D281" s="143">
        <v>1910</v>
      </c>
      <c r="E281" s="144">
        <v>2210.1</v>
      </c>
      <c r="F281" s="142">
        <v>1644.7</v>
      </c>
      <c r="G281" s="143">
        <f t="shared" si="6"/>
        <v>74.417447174336</v>
      </c>
    </row>
    <row r="282" spans="1:7" s="185" customFormat="1" ht="15">
      <c r="A282" s="87"/>
      <c r="B282" s="267">
        <v>6399</v>
      </c>
      <c r="C282" s="87" t="s">
        <v>482</v>
      </c>
      <c r="D282" s="143">
        <v>13411</v>
      </c>
      <c r="E282" s="144">
        <v>12536.1</v>
      </c>
      <c r="F282" s="142">
        <v>10894.7</v>
      </c>
      <c r="G282" s="143">
        <f t="shared" si="6"/>
        <v>86.90661369963546</v>
      </c>
    </row>
    <row r="283" spans="1:7" s="185" customFormat="1" ht="15">
      <c r="A283" s="87"/>
      <c r="B283" s="267">
        <v>6402</v>
      </c>
      <c r="C283" s="87" t="s">
        <v>483</v>
      </c>
      <c r="D283" s="143">
        <v>0</v>
      </c>
      <c r="E283" s="144">
        <v>981.2</v>
      </c>
      <c r="F283" s="142">
        <v>981.1</v>
      </c>
      <c r="G283" s="143">
        <f t="shared" si="6"/>
        <v>99.98980839788014</v>
      </c>
    </row>
    <row r="284" spans="1:7" s="185" customFormat="1" ht="15">
      <c r="A284" s="87"/>
      <c r="B284" s="267">
        <v>6409</v>
      </c>
      <c r="C284" s="87" t="s">
        <v>484</v>
      </c>
      <c r="D284" s="143">
        <v>0</v>
      </c>
      <c r="E284" s="144">
        <v>0</v>
      </c>
      <c r="F284" s="142">
        <v>6.3</v>
      </c>
      <c r="G284" s="143" t="e">
        <f t="shared" si="6"/>
        <v>#DIV/0!</v>
      </c>
    </row>
    <row r="285" spans="1:7" s="190" customFormat="1" ht="20.25" customHeight="1">
      <c r="A285" s="213"/>
      <c r="B285" s="211">
        <v>6409</v>
      </c>
      <c r="C285" s="213" t="s">
        <v>485</v>
      </c>
      <c r="D285" s="294">
        <v>0</v>
      </c>
      <c r="E285" s="295">
        <v>0</v>
      </c>
      <c r="F285" s="243">
        <v>0</v>
      </c>
      <c r="G285" s="143" t="e">
        <f t="shared" si="6"/>
        <v>#DIV/0!</v>
      </c>
    </row>
    <row r="286" spans="1:7" s="185" customFormat="1" ht="15.75" thickBot="1">
      <c r="A286" s="272"/>
      <c r="B286" s="271"/>
      <c r="C286" s="272"/>
      <c r="D286" s="296"/>
      <c r="E286" s="297"/>
      <c r="F286" s="298"/>
      <c r="G286" s="296"/>
    </row>
    <row r="287" spans="1:7" s="185" customFormat="1" ht="18.75" customHeight="1" thickBot="1" thickTop="1">
      <c r="A287" s="228"/>
      <c r="B287" s="284"/>
      <c r="C287" s="283" t="s">
        <v>486</v>
      </c>
      <c r="D287" s="299">
        <f>SUM(D279:D285)</f>
        <v>15321</v>
      </c>
      <c r="E287" s="300">
        <f>SUM(E279:E285)</f>
        <v>15727.400000000001</v>
      </c>
      <c r="F287" s="301">
        <f>SUM(F279:F285)</f>
        <v>13531.800000000001</v>
      </c>
      <c r="G287" s="231">
        <f>(F287/E287)*100</f>
        <v>86.03965054618055</v>
      </c>
    </row>
    <row r="288" spans="1:7" s="185" customFormat="1" ht="18.75" customHeight="1">
      <c r="A288" s="184"/>
      <c r="B288" s="187"/>
      <c r="C288" s="234"/>
      <c r="D288" s="236"/>
      <c r="E288" s="236"/>
      <c r="F288" s="236"/>
      <c r="G288" s="236"/>
    </row>
    <row r="289" spans="1:7" s="185" customFormat="1" ht="13.5" customHeight="1" hidden="1">
      <c r="A289" s="184"/>
      <c r="B289" s="187"/>
      <c r="C289" s="234"/>
      <c r="D289" s="236"/>
      <c r="E289" s="236"/>
      <c r="F289" s="236"/>
      <c r="G289" s="236"/>
    </row>
    <row r="290" spans="1:7" s="185" customFormat="1" ht="13.5" customHeight="1" hidden="1">
      <c r="A290" s="184"/>
      <c r="B290" s="187"/>
      <c r="C290" s="234"/>
      <c r="D290" s="236"/>
      <c r="E290" s="236"/>
      <c r="F290" s="236"/>
      <c r="G290" s="236"/>
    </row>
    <row r="291" spans="1:7" s="185" customFormat="1" ht="13.5" customHeight="1" hidden="1">
      <c r="A291" s="184"/>
      <c r="B291" s="187"/>
      <c r="C291" s="234"/>
      <c r="D291" s="236"/>
      <c r="E291" s="236"/>
      <c r="F291" s="236"/>
      <c r="G291" s="236"/>
    </row>
    <row r="292" spans="1:7" s="185" customFormat="1" ht="13.5" customHeight="1" hidden="1">
      <c r="A292" s="184"/>
      <c r="B292" s="187"/>
      <c r="C292" s="234"/>
      <c r="D292" s="236"/>
      <c r="E292" s="236"/>
      <c r="F292" s="236"/>
      <c r="G292" s="236"/>
    </row>
    <row r="293" spans="1:7" s="185" customFormat="1" ht="13.5" customHeight="1" hidden="1">
      <c r="A293" s="184"/>
      <c r="B293" s="187"/>
      <c r="C293" s="234"/>
      <c r="D293" s="236"/>
      <c r="E293" s="236"/>
      <c r="F293" s="236"/>
      <c r="G293" s="236"/>
    </row>
    <row r="294" spans="1:7" s="185" customFormat="1" ht="16.5" customHeight="1">
      <c r="A294" s="184"/>
      <c r="B294" s="187"/>
      <c r="C294" s="234"/>
      <c r="D294" s="236"/>
      <c r="E294" s="236"/>
      <c r="F294" s="236"/>
      <c r="G294" s="236"/>
    </row>
    <row r="295" spans="1:7" s="185" customFormat="1" ht="15.75" customHeight="1" thickBot="1">
      <c r="A295" s="184"/>
      <c r="B295" s="187"/>
      <c r="C295" s="234"/>
      <c r="D295" s="236"/>
      <c r="E295" s="236"/>
      <c r="F295" s="236"/>
      <c r="G295" s="236"/>
    </row>
    <row r="296" spans="1:7" s="185" customFormat="1" ht="15.75">
      <c r="A296" s="205" t="s">
        <v>25</v>
      </c>
      <c r="B296" s="206" t="s">
        <v>26</v>
      </c>
      <c r="C296" s="205" t="s">
        <v>28</v>
      </c>
      <c r="D296" s="205" t="s">
        <v>29</v>
      </c>
      <c r="E296" s="205" t="s">
        <v>29</v>
      </c>
      <c r="F296" s="53" t="s">
        <v>8</v>
      </c>
      <c r="G296" s="205" t="s">
        <v>312</v>
      </c>
    </row>
    <row r="297" spans="1:7" s="185" customFormat="1" ht="15.75" customHeight="1" thickBot="1">
      <c r="A297" s="207"/>
      <c r="B297" s="208"/>
      <c r="C297" s="209"/>
      <c r="D297" s="210" t="s">
        <v>31</v>
      </c>
      <c r="E297" s="210" t="s">
        <v>32</v>
      </c>
      <c r="F297" s="57" t="s">
        <v>33</v>
      </c>
      <c r="G297" s="210" t="s">
        <v>313</v>
      </c>
    </row>
    <row r="298" spans="1:7" s="185" customFormat="1" ht="16.5" thickTop="1">
      <c r="A298" s="211">
        <v>120</v>
      </c>
      <c r="B298" s="211"/>
      <c r="C298" s="109" t="s">
        <v>244</v>
      </c>
      <c r="D298" s="117"/>
      <c r="E298" s="115"/>
      <c r="F298" s="116"/>
      <c r="G298" s="117"/>
    </row>
    <row r="299" spans="1:7" s="185" customFormat="1" ht="15" customHeight="1">
      <c r="A299" s="139"/>
      <c r="B299" s="266"/>
      <c r="C299" s="109"/>
      <c r="D299" s="143"/>
      <c r="E299" s="144"/>
      <c r="F299" s="142"/>
      <c r="G299" s="143"/>
    </row>
    <row r="300" spans="1:7" s="185" customFormat="1" ht="15" customHeight="1">
      <c r="A300" s="139"/>
      <c r="B300" s="266"/>
      <c r="C300" s="109"/>
      <c r="D300" s="268"/>
      <c r="E300" s="269"/>
      <c r="F300" s="273"/>
      <c r="G300" s="143"/>
    </row>
    <row r="301" spans="1:7" s="185" customFormat="1" ht="15.75">
      <c r="A301" s="139"/>
      <c r="B301" s="267">
        <v>2310</v>
      </c>
      <c r="C301" s="87" t="s">
        <v>487</v>
      </c>
      <c r="D301" s="268">
        <v>30</v>
      </c>
      <c r="E301" s="269">
        <v>30</v>
      </c>
      <c r="F301" s="273">
        <v>0</v>
      </c>
      <c r="G301" s="143">
        <f aca="true" t="shared" si="7" ref="G301:G310">(F301/E301)*100</f>
        <v>0</v>
      </c>
    </row>
    <row r="302" spans="1:7" s="185" customFormat="1" ht="15.75" customHeight="1" hidden="1">
      <c r="A302" s="139"/>
      <c r="B302" s="267">
        <v>2321</v>
      </c>
      <c r="C302" s="87" t="s">
        <v>488</v>
      </c>
      <c r="D302" s="268">
        <v>0</v>
      </c>
      <c r="E302" s="269"/>
      <c r="F302" s="273"/>
      <c r="G302" s="143" t="e">
        <f t="shared" si="7"/>
        <v>#DIV/0!</v>
      </c>
    </row>
    <row r="303" spans="1:7" s="185" customFormat="1" ht="15">
      <c r="A303" s="87"/>
      <c r="B303" s="267">
        <v>3612</v>
      </c>
      <c r="C303" s="87" t="s">
        <v>489</v>
      </c>
      <c r="D303" s="143">
        <v>11384</v>
      </c>
      <c r="E303" s="144">
        <v>11224.5</v>
      </c>
      <c r="F303" s="142">
        <v>8276.8</v>
      </c>
      <c r="G303" s="143">
        <f t="shared" si="7"/>
        <v>73.7386966011849</v>
      </c>
    </row>
    <row r="304" spans="1:7" s="185" customFormat="1" ht="15">
      <c r="A304" s="87"/>
      <c r="B304" s="267">
        <v>3613</v>
      </c>
      <c r="C304" s="87" t="s">
        <v>490</v>
      </c>
      <c r="D304" s="143">
        <v>7086</v>
      </c>
      <c r="E304" s="144">
        <v>8080</v>
      </c>
      <c r="F304" s="142">
        <v>5160.7</v>
      </c>
      <c r="G304" s="143">
        <f t="shared" si="7"/>
        <v>63.87004950495049</v>
      </c>
    </row>
    <row r="305" spans="1:7" s="185" customFormat="1" ht="15">
      <c r="A305" s="87"/>
      <c r="B305" s="267">
        <v>3632</v>
      </c>
      <c r="C305" s="87" t="s">
        <v>361</v>
      </c>
      <c r="D305" s="143">
        <v>792</v>
      </c>
      <c r="E305" s="144">
        <v>1737</v>
      </c>
      <c r="F305" s="142">
        <v>1069.3</v>
      </c>
      <c r="G305" s="143">
        <f t="shared" si="7"/>
        <v>61.56016119746689</v>
      </c>
    </row>
    <row r="306" spans="1:7" s="185" customFormat="1" ht="15">
      <c r="A306" s="87"/>
      <c r="B306" s="267">
        <v>3634</v>
      </c>
      <c r="C306" s="87" t="s">
        <v>491</v>
      </c>
      <c r="D306" s="143">
        <v>800</v>
      </c>
      <c r="E306" s="144">
        <v>800</v>
      </c>
      <c r="F306" s="142">
        <v>559.2</v>
      </c>
      <c r="G306" s="143">
        <f t="shared" si="7"/>
        <v>69.9</v>
      </c>
    </row>
    <row r="307" spans="1:7" s="185" customFormat="1" ht="15">
      <c r="A307" s="87"/>
      <c r="B307" s="267">
        <v>3639</v>
      </c>
      <c r="C307" s="87" t="s">
        <v>492</v>
      </c>
      <c r="D307" s="143">
        <f>12685.2-12112</f>
        <v>573.2000000000007</v>
      </c>
      <c r="E307" s="144">
        <f>14070.1-10515.4</f>
        <v>3554.7000000000007</v>
      </c>
      <c r="F307" s="142">
        <f>4688.7-3631.9</f>
        <v>1056.7999999999997</v>
      </c>
      <c r="G307" s="143">
        <f t="shared" si="7"/>
        <v>29.729653697921048</v>
      </c>
    </row>
    <row r="308" spans="1:7" s="185" customFormat="1" ht="15" customHeight="1" hidden="1">
      <c r="A308" s="87"/>
      <c r="B308" s="267">
        <v>3639</v>
      </c>
      <c r="C308" s="87" t="s">
        <v>493</v>
      </c>
      <c r="D308" s="143">
        <v>0</v>
      </c>
      <c r="E308" s="144"/>
      <c r="F308" s="142"/>
      <c r="G308" s="143" t="e">
        <f t="shared" si="7"/>
        <v>#DIV/0!</v>
      </c>
    </row>
    <row r="309" spans="1:7" s="185" customFormat="1" ht="15">
      <c r="A309" s="87"/>
      <c r="B309" s="267">
        <v>3639</v>
      </c>
      <c r="C309" s="87" t="s">
        <v>494</v>
      </c>
      <c r="D309" s="143">
        <v>12112</v>
      </c>
      <c r="E309" s="144">
        <v>10515.4</v>
      </c>
      <c r="F309" s="142">
        <v>3631.9</v>
      </c>
      <c r="G309" s="143">
        <f t="shared" si="7"/>
        <v>34.53886680487666</v>
      </c>
    </row>
    <row r="310" spans="1:7" s="185" customFormat="1" ht="15">
      <c r="A310" s="87"/>
      <c r="B310" s="267">
        <v>3729</v>
      </c>
      <c r="C310" s="87" t="s">
        <v>495</v>
      </c>
      <c r="D310" s="143">
        <v>1</v>
      </c>
      <c r="E310" s="144">
        <v>1</v>
      </c>
      <c r="F310" s="142">
        <v>0.5</v>
      </c>
      <c r="G310" s="143">
        <f t="shared" si="7"/>
        <v>50</v>
      </c>
    </row>
    <row r="311" spans="1:7" s="185" customFormat="1" ht="15" customHeight="1" thickBot="1">
      <c r="A311" s="270"/>
      <c r="B311" s="270"/>
      <c r="C311" s="285"/>
      <c r="D311" s="296"/>
      <c r="E311" s="297"/>
      <c r="F311" s="298"/>
      <c r="G311" s="296"/>
    </row>
    <row r="312" spans="1:7" s="185" customFormat="1" ht="18.75" customHeight="1" thickBot="1" thickTop="1">
      <c r="A312" s="262"/>
      <c r="B312" s="284"/>
      <c r="C312" s="283" t="s">
        <v>496</v>
      </c>
      <c r="D312" s="299">
        <f>SUM(D301:D310)</f>
        <v>32778.2</v>
      </c>
      <c r="E312" s="300">
        <f>SUM(E301:E310)</f>
        <v>35942.6</v>
      </c>
      <c r="F312" s="301">
        <f>SUM(F301:F310)</f>
        <v>19755.2</v>
      </c>
      <c r="G312" s="231">
        <f>(F312/E312)*100</f>
        <v>54.963191310589664</v>
      </c>
    </row>
    <row r="313" spans="1:7" s="185" customFormat="1" ht="15.75" customHeight="1">
      <c r="A313" s="184"/>
      <c r="B313" s="187"/>
      <c r="C313" s="234"/>
      <c r="D313" s="236"/>
      <c r="E313" s="236"/>
      <c r="F313" s="236"/>
      <c r="G313" s="236"/>
    </row>
    <row r="314" spans="1:7" s="185" customFormat="1" ht="15.75" customHeight="1">
      <c r="A314" s="184"/>
      <c r="B314" s="187"/>
      <c r="C314" s="234"/>
      <c r="D314" s="236"/>
      <c r="E314" s="236"/>
      <c r="F314" s="236"/>
      <c r="G314" s="236"/>
    </row>
    <row r="315" s="185" customFormat="1" ht="15.75" customHeight="1" thickBot="1"/>
    <row r="316" spans="1:7" s="185" customFormat="1" ht="15.75">
      <c r="A316" s="205" t="s">
        <v>25</v>
      </c>
      <c r="B316" s="206" t="s">
        <v>26</v>
      </c>
      <c r="C316" s="205" t="s">
        <v>28</v>
      </c>
      <c r="D316" s="205" t="s">
        <v>29</v>
      </c>
      <c r="E316" s="205" t="s">
        <v>29</v>
      </c>
      <c r="F316" s="53" t="s">
        <v>8</v>
      </c>
      <c r="G316" s="205" t="s">
        <v>312</v>
      </c>
    </row>
    <row r="317" spans="1:7" s="185" customFormat="1" ht="15.75" customHeight="1" thickBot="1">
      <c r="A317" s="207"/>
      <c r="B317" s="208"/>
      <c r="C317" s="209"/>
      <c r="D317" s="210" t="s">
        <v>31</v>
      </c>
      <c r="E317" s="210" t="s">
        <v>32</v>
      </c>
      <c r="F317" s="57" t="s">
        <v>33</v>
      </c>
      <c r="G317" s="210" t="s">
        <v>313</v>
      </c>
    </row>
    <row r="318" spans="1:7" s="185" customFormat="1" ht="38.25" customHeight="1" thickBot="1" thickTop="1">
      <c r="A318" s="283"/>
      <c r="B318" s="302"/>
      <c r="C318" s="303" t="s">
        <v>497</v>
      </c>
      <c r="D318" s="304">
        <f>SUM(D34,D141,D166,D197,D227,D244,D262,D272,D287,D312,)</f>
        <v>492538.5</v>
      </c>
      <c r="E318" s="305">
        <f>SUM(E34,E141,E166,E197,E227,E244,E262,E272,E287,E312)</f>
        <v>547973.4</v>
      </c>
      <c r="F318" s="306">
        <f>SUM(F34,F141,F166,F197,F227,F244,F262,F272,F287,F312,)</f>
        <v>329718.49999999994</v>
      </c>
      <c r="G318" s="307">
        <f>(F318/E318)*100</f>
        <v>60.17053017536982</v>
      </c>
    </row>
    <row r="319" spans="1:7" ht="15">
      <c r="A319" s="83"/>
      <c r="B319" s="83"/>
      <c r="C319" s="83"/>
      <c r="D319" s="83"/>
      <c r="E319" s="83"/>
      <c r="F319" s="83"/>
      <c r="G319" s="83"/>
    </row>
    <row r="320" spans="1:7" ht="15" customHeight="1">
      <c r="A320" s="83"/>
      <c r="B320" s="83"/>
      <c r="C320" s="83"/>
      <c r="D320" s="83"/>
      <c r="E320" s="83"/>
      <c r="F320" s="83"/>
      <c r="G320" s="83"/>
    </row>
    <row r="321" spans="1:7" ht="15" customHeight="1">
      <c r="A321" s="83"/>
      <c r="B321" s="83"/>
      <c r="C321" s="83"/>
      <c r="D321" s="83"/>
      <c r="E321" s="83"/>
      <c r="F321" s="83"/>
      <c r="G321" s="83"/>
    </row>
    <row r="322" spans="1:7" ht="15" customHeight="1">
      <c r="A322" s="83"/>
      <c r="B322" s="83"/>
      <c r="C322" s="83"/>
      <c r="D322" s="83"/>
      <c r="E322" s="83"/>
      <c r="F322" s="83"/>
      <c r="G322" s="83"/>
    </row>
    <row r="323" spans="1:7" ht="15">
      <c r="A323" s="83"/>
      <c r="B323" s="83"/>
      <c r="C323" s="83"/>
      <c r="D323" s="83"/>
      <c r="E323" s="83"/>
      <c r="F323" s="83"/>
      <c r="G323" s="83"/>
    </row>
    <row r="324" spans="1:7" ht="15">
      <c r="A324" s="83"/>
      <c r="B324" s="83"/>
      <c r="C324" s="83"/>
      <c r="D324" s="83"/>
      <c r="E324" s="83"/>
      <c r="F324" s="83"/>
      <c r="G324" s="83"/>
    </row>
    <row r="325" spans="1:7" ht="15">
      <c r="A325" s="83"/>
      <c r="B325" s="83"/>
      <c r="C325" s="84"/>
      <c r="D325" s="83"/>
      <c r="E325" s="83"/>
      <c r="F325" s="83"/>
      <c r="G325" s="83"/>
    </row>
    <row r="326" spans="1:7" ht="15">
      <c r="A326" s="83"/>
      <c r="B326" s="83"/>
      <c r="C326" s="83"/>
      <c r="D326" s="83"/>
      <c r="E326" s="83"/>
      <c r="F326" s="83"/>
      <c r="G326" s="83"/>
    </row>
    <row r="327" spans="1:7" ht="15">
      <c r="A327" s="83"/>
      <c r="B327" s="83"/>
      <c r="C327" s="83"/>
      <c r="D327" s="83"/>
      <c r="E327" s="83"/>
      <c r="F327" s="83"/>
      <c r="G327" s="83"/>
    </row>
    <row r="328" spans="1:7" ht="15">
      <c r="A328" s="83"/>
      <c r="B328" s="83"/>
      <c r="C328" s="83"/>
      <c r="D328" s="83"/>
      <c r="E328" s="83"/>
      <c r="F328" s="83"/>
      <c r="G328" s="83"/>
    </row>
    <row r="329" spans="1:7" ht="15">
      <c r="A329" s="83"/>
      <c r="B329" s="83"/>
      <c r="C329" s="83"/>
      <c r="D329" s="83"/>
      <c r="E329" s="83"/>
      <c r="F329" s="83"/>
      <c r="G329" s="83"/>
    </row>
    <row r="330" spans="1:7" ht="15">
      <c r="A330" s="83"/>
      <c r="B330" s="83"/>
      <c r="C330" s="83"/>
      <c r="D330" s="83"/>
      <c r="E330" s="83"/>
      <c r="F330" s="83"/>
      <c r="G330" s="83"/>
    </row>
    <row r="331" spans="1:7" ht="15">
      <c r="A331" s="83"/>
      <c r="B331" s="83"/>
      <c r="C331" s="83"/>
      <c r="D331" s="83"/>
      <c r="E331" s="83"/>
      <c r="F331" s="83"/>
      <c r="G331" s="83"/>
    </row>
    <row r="332" spans="1:7" ht="15">
      <c r="A332" s="83"/>
      <c r="B332" s="83"/>
      <c r="C332" s="83"/>
      <c r="D332" s="83"/>
      <c r="E332" s="83"/>
      <c r="F332" s="83"/>
      <c r="G332" s="83"/>
    </row>
    <row r="333" spans="1:7" ht="15">
      <c r="A333" s="83"/>
      <c r="B333" s="83"/>
      <c r="C333" s="83"/>
      <c r="D333" s="83"/>
      <c r="E333" s="83"/>
      <c r="F333" s="83"/>
      <c r="G333" s="83"/>
    </row>
    <row r="334" spans="1:7" ht="15">
      <c r="A334" s="83"/>
      <c r="B334" s="83"/>
      <c r="C334" s="83"/>
      <c r="D334" s="83"/>
      <c r="E334" s="83"/>
      <c r="F334" s="83"/>
      <c r="G334" s="83"/>
    </row>
    <row r="335" spans="1:7" ht="15">
      <c r="A335" s="83"/>
      <c r="B335" s="83"/>
      <c r="C335" s="83"/>
      <c r="D335" s="83"/>
      <c r="E335" s="83"/>
      <c r="F335" s="83"/>
      <c r="G335" s="83"/>
    </row>
    <row r="336" spans="1:7" ht="15">
      <c r="A336" s="83"/>
      <c r="B336" s="83"/>
      <c r="C336" s="83"/>
      <c r="D336" s="83"/>
      <c r="E336" s="83"/>
      <c r="F336" s="83"/>
      <c r="G336" s="83"/>
    </row>
    <row r="337" spans="1:7" ht="15">
      <c r="A337" s="83"/>
      <c r="B337" s="83"/>
      <c r="C337" s="83"/>
      <c r="D337" s="83"/>
      <c r="E337" s="83"/>
      <c r="F337" s="83"/>
      <c r="G337" s="83"/>
    </row>
    <row r="338" spans="1:7" ht="15">
      <c r="A338" s="83"/>
      <c r="B338" s="83"/>
      <c r="C338" s="83"/>
      <c r="D338" s="83"/>
      <c r="E338" s="83"/>
      <c r="F338" s="83"/>
      <c r="G338" s="83"/>
    </row>
    <row r="339" spans="1:7" ht="15">
      <c r="A339" s="83"/>
      <c r="B339" s="83"/>
      <c r="C339" s="83"/>
      <c r="D339" s="83"/>
      <c r="E339" s="83"/>
      <c r="F339" s="83"/>
      <c r="G339" s="83"/>
    </row>
  </sheetData>
  <sheetProtection/>
  <printOptions/>
  <pageMargins left="0.35433070866141736" right="0.17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7.7109375" style="315" customWidth="1"/>
    <col min="2" max="2" width="13.57421875" style="315" customWidth="1"/>
    <col min="3" max="4" width="10.8515625" style="315" hidden="1" customWidth="1"/>
    <col min="5" max="5" width="6.421875" style="318" customWidth="1"/>
    <col min="6" max="6" width="11.7109375" style="315" hidden="1" customWidth="1"/>
    <col min="7" max="7" width="11.57421875" style="315" hidden="1" customWidth="1"/>
    <col min="8" max="9" width="11.57421875" style="315" customWidth="1"/>
    <col min="10" max="10" width="11.421875" style="315" customWidth="1"/>
    <col min="11" max="11" width="11.57421875" style="315" bestFit="1" customWidth="1"/>
    <col min="12" max="12" width="9.28125" style="315" bestFit="1" customWidth="1"/>
    <col min="13" max="18" width="9.140625" style="315" customWidth="1"/>
    <col min="19" max="19" width="9.28125" style="315" bestFit="1" customWidth="1"/>
    <col min="20" max="20" width="9.140625" style="315" customWidth="1"/>
    <col min="21" max="22" width="0" style="315" hidden="1" customWidth="1"/>
    <col min="23" max="24" width="14.00390625" style="315" customWidth="1"/>
    <col min="25" max="16384" width="9.140625" style="315" customWidth="1"/>
  </cols>
  <sheetData>
    <row r="1" spans="1:17" ht="18.75">
      <c r="A1" s="520" t="s">
        <v>499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</row>
    <row r="2" spans="1:24" ht="21.75" customHeight="1" thickBot="1">
      <c r="A2" s="316"/>
      <c r="B2" s="317"/>
      <c r="J2" s="319"/>
      <c r="R2" s="320" t="s">
        <v>500</v>
      </c>
      <c r="S2" s="320"/>
      <c r="T2" s="320"/>
      <c r="U2" s="320"/>
      <c r="V2" s="320"/>
      <c r="W2" s="320"/>
      <c r="X2" s="320"/>
    </row>
    <row r="3" spans="1:10" ht="16.5" thickBot="1">
      <c r="A3" s="321" t="s">
        <v>501</v>
      </c>
      <c r="B3" s="322" t="s">
        <v>502</v>
      </c>
      <c r="C3" s="323"/>
      <c r="D3" s="323"/>
      <c r="E3" s="324"/>
      <c r="F3" s="323"/>
      <c r="G3" s="325"/>
      <c r="H3" s="326"/>
      <c r="I3" s="326"/>
      <c r="J3" s="327"/>
    </row>
    <row r="4" spans="1:10" ht="23.25" customHeight="1" thickBot="1">
      <c r="A4" s="319" t="s">
        <v>503</v>
      </c>
      <c r="J4" s="319"/>
    </row>
    <row r="5" spans="1:24" ht="15">
      <c r="A5" s="328"/>
      <c r="B5" s="329"/>
      <c r="C5" s="329"/>
      <c r="D5" s="329"/>
      <c r="E5" s="330"/>
      <c r="F5" s="329"/>
      <c r="G5" s="331"/>
      <c r="H5" s="329"/>
      <c r="I5" s="329"/>
      <c r="J5" s="332" t="s">
        <v>29</v>
      </c>
      <c r="K5" s="333"/>
      <c r="L5" s="334"/>
      <c r="M5" s="334"/>
      <c r="N5" s="334"/>
      <c r="O5" s="334"/>
      <c r="P5" s="335" t="s">
        <v>504</v>
      </c>
      <c r="Q5" s="334"/>
      <c r="R5" s="334"/>
      <c r="S5" s="334"/>
      <c r="T5" s="334"/>
      <c r="U5" s="334"/>
      <c r="V5" s="334"/>
      <c r="W5" s="336" t="s">
        <v>505</v>
      </c>
      <c r="X5" s="337" t="s">
        <v>506</v>
      </c>
    </row>
    <row r="6" spans="1:24" ht="13.5" thickBot="1">
      <c r="A6" s="338" t="s">
        <v>27</v>
      </c>
      <c r="B6" s="339" t="s">
        <v>507</v>
      </c>
      <c r="C6" s="339" t="s">
        <v>508</v>
      </c>
      <c r="D6" s="339" t="s">
        <v>509</v>
      </c>
      <c r="E6" s="339" t="s">
        <v>510</v>
      </c>
      <c r="F6" s="340" t="s">
        <v>511</v>
      </c>
      <c r="G6" s="341" t="s">
        <v>512</v>
      </c>
      <c r="H6" s="339" t="s">
        <v>513</v>
      </c>
      <c r="I6" s="339" t="s">
        <v>514</v>
      </c>
      <c r="J6" s="342">
        <v>2013</v>
      </c>
      <c r="K6" s="341" t="s">
        <v>515</v>
      </c>
      <c r="L6" s="343" t="s">
        <v>516</v>
      </c>
      <c r="M6" s="343" t="s">
        <v>517</v>
      </c>
      <c r="N6" s="343" t="s">
        <v>518</v>
      </c>
      <c r="O6" s="343" t="s">
        <v>519</v>
      </c>
      <c r="P6" s="343" t="s">
        <v>520</v>
      </c>
      <c r="Q6" s="343" t="s">
        <v>521</v>
      </c>
      <c r="R6" s="343" t="s">
        <v>522</v>
      </c>
      <c r="S6" s="343" t="s">
        <v>523</v>
      </c>
      <c r="T6" s="343" t="s">
        <v>524</v>
      </c>
      <c r="U6" s="343" t="s">
        <v>525</v>
      </c>
      <c r="V6" s="341" t="s">
        <v>526</v>
      </c>
      <c r="W6" s="344" t="s">
        <v>527</v>
      </c>
      <c r="X6" s="345" t="s">
        <v>528</v>
      </c>
    </row>
    <row r="7" spans="1:24" ht="12.75">
      <c r="A7" s="346" t="s">
        <v>529</v>
      </c>
      <c r="B7" s="347"/>
      <c r="C7" s="348">
        <v>104</v>
      </c>
      <c r="D7" s="348">
        <v>104</v>
      </c>
      <c r="E7" s="349"/>
      <c r="F7" s="350">
        <v>142</v>
      </c>
      <c r="G7" s="351">
        <v>139</v>
      </c>
      <c r="H7" s="352">
        <v>133</v>
      </c>
      <c r="I7" s="352">
        <v>139</v>
      </c>
      <c r="J7" s="353">
        <v>139</v>
      </c>
      <c r="K7" s="354">
        <v>141</v>
      </c>
      <c r="L7" s="355">
        <v>142</v>
      </c>
      <c r="M7" s="355">
        <v>141</v>
      </c>
      <c r="N7" s="355">
        <v>144</v>
      </c>
      <c r="O7" s="356">
        <v>146</v>
      </c>
      <c r="P7" s="356">
        <v>147</v>
      </c>
      <c r="Q7" s="356">
        <v>147</v>
      </c>
      <c r="R7" s="356">
        <v>146</v>
      </c>
      <c r="S7" s="356">
        <v>146</v>
      </c>
      <c r="T7" s="356">
        <v>147</v>
      </c>
      <c r="U7" s="356"/>
      <c r="V7" s="357"/>
      <c r="W7" s="358" t="s">
        <v>530</v>
      </c>
      <c r="X7" s="359" t="s">
        <v>530</v>
      </c>
    </row>
    <row r="8" spans="1:24" ht="13.5" thickBot="1">
      <c r="A8" s="360" t="s">
        <v>531</v>
      </c>
      <c r="B8" s="361"/>
      <c r="C8" s="362">
        <v>101</v>
      </c>
      <c r="D8" s="362">
        <v>104</v>
      </c>
      <c r="E8" s="363"/>
      <c r="F8" s="362">
        <v>139</v>
      </c>
      <c r="G8" s="364">
        <v>137</v>
      </c>
      <c r="H8" s="365">
        <v>129</v>
      </c>
      <c r="I8" s="365">
        <v>138</v>
      </c>
      <c r="J8" s="366">
        <v>138</v>
      </c>
      <c r="K8" s="367">
        <v>138</v>
      </c>
      <c r="L8" s="368">
        <v>138</v>
      </c>
      <c r="M8" s="369">
        <v>138</v>
      </c>
      <c r="N8" s="369">
        <v>141</v>
      </c>
      <c r="O8" s="368">
        <v>142.75</v>
      </c>
      <c r="P8" s="368">
        <v>144.25</v>
      </c>
      <c r="Q8" s="368">
        <v>145.3</v>
      </c>
      <c r="R8" s="368">
        <v>144.3</v>
      </c>
      <c r="S8" s="368">
        <v>143.25</v>
      </c>
      <c r="T8" s="368">
        <v>144.63</v>
      </c>
      <c r="U8" s="368"/>
      <c r="V8" s="367"/>
      <c r="W8" s="370"/>
      <c r="X8" s="371" t="s">
        <v>530</v>
      </c>
    </row>
    <row r="9" spans="1:24" ht="12.75">
      <c r="A9" s="372" t="s">
        <v>532</v>
      </c>
      <c r="B9" s="373" t="s">
        <v>533</v>
      </c>
      <c r="C9" s="374">
        <v>37915</v>
      </c>
      <c r="D9" s="374">
        <v>39774</v>
      </c>
      <c r="E9" s="375" t="s">
        <v>534</v>
      </c>
      <c r="F9" s="376">
        <v>22515</v>
      </c>
      <c r="G9" s="377">
        <v>23549</v>
      </c>
      <c r="H9" s="378">
        <v>24376</v>
      </c>
      <c r="I9" s="379">
        <v>24327</v>
      </c>
      <c r="J9" s="380" t="s">
        <v>530</v>
      </c>
      <c r="K9" s="381">
        <v>24338</v>
      </c>
      <c r="L9" s="382">
        <v>24382</v>
      </c>
      <c r="M9" s="383">
        <v>24417</v>
      </c>
      <c r="N9" s="383">
        <v>24472</v>
      </c>
      <c r="O9" s="382">
        <v>24657</v>
      </c>
      <c r="P9" s="382">
        <v>24688</v>
      </c>
      <c r="Q9" s="384">
        <v>24702</v>
      </c>
      <c r="R9" s="384">
        <v>24797</v>
      </c>
      <c r="S9" s="384">
        <v>25310</v>
      </c>
      <c r="T9" s="384">
        <v>24611</v>
      </c>
      <c r="U9" s="384"/>
      <c r="V9" s="385"/>
      <c r="W9" s="386" t="s">
        <v>530</v>
      </c>
      <c r="X9" s="387" t="s">
        <v>530</v>
      </c>
    </row>
    <row r="10" spans="1:24" ht="12.75">
      <c r="A10" s="388" t="s">
        <v>535</v>
      </c>
      <c r="B10" s="389" t="s">
        <v>536</v>
      </c>
      <c r="C10" s="390">
        <v>-16164</v>
      </c>
      <c r="D10" s="390">
        <v>-17825</v>
      </c>
      <c r="E10" s="375" t="s">
        <v>537</v>
      </c>
      <c r="F10" s="376">
        <v>-20194</v>
      </c>
      <c r="G10" s="377">
        <v>-21592</v>
      </c>
      <c r="H10" s="378">
        <v>-22365</v>
      </c>
      <c r="I10" s="378">
        <v>22791</v>
      </c>
      <c r="J10" s="391" t="s">
        <v>530</v>
      </c>
      <c r="K10" s="392">
        <v>22800</v>
      </c>
      <c r="L10" s="393">
        <v>22835</v>
      </c>
      <c r="M10" s="394">
        <v>22933</v>
      </c>
      <c r="N10" s="394">
        <v>23024</v>
      </c>
      <c r="O10" s="382">
        <v>23127</v>
      </c>
      <c r="P10" s="382">
        <v>23194</v>
      </c>
      <c r="Q10" s="384">
        <v>23244</v>
      </c>
      <c r="R10" s="384">
        <v>23379</v>
      </c>
      <c r="S10" s="384">
        <v>23489</v>
      </c>
      <c r="T10" s="384">
        <v>22819</v>
      </c>
      <c r="U10" s="384"/>
      <c r="V10" s="385"/>
      <c r="W10" s="386" t="s">
        <v>530</v>
      </c>
      <c r="X10" s="387" t="s">
        <v>530</v>
      </c>
    </row>
    <row r="11" spans="1:24" ht="12.75">
      <c r="A11" s="388" t="s">
        <v>538</v>
      </c>
      <c r="B11" s="389" t="s">
        <v>539</v>
      </c>
      <c r="C11" s="390">
        <v>604</v>
      </c>
      <c r="D11" s="390">
        <v>619</v>
      </c>
      <c r="E11" s="375" t="s">
        <v>540</v>
      </c>
      <c r="F11" s="376">
        <v>856</v>
      </c>
      <c r="G11" s="377">
        <v>965</v>
      </c>
      <c r="H11" s="378">
        <v>754</v>
      </c>
      <c r="I11" s="378">
        <v>666</v>
      </c>
      <c r="J11" s="391" t="s">
        <v>530</v>
      </c>
      <c r="K11" s="392">
        <v>700</v>
      </c>
      <c r="L11" s="393">
        <v>576</v>
      </c>
      <c r="M11" s="394">
        <v>633</v>
      </c>
      <c r="N11" s="394">
        <v>659</v>
      </c>
      <c r="O11" s="382">
        <v>659</v>
      </c>
      <c r="P11" s="382">
        <v>644</v>
      </c>
      <c r="Q11" s="384">
        <v>688</v>
      </c>
      <c r="R11" s="384">
        <v>677</v>
      </c>
      <c r="S11" s="384">
        <v>551</v>
      </c>
      <c r="T11" s="384">
        <v>547</v>
      </c>
      <c r="U11" s="384"/>
      <c r="V11" s="385"/>
      <c r="W11" s="386" t="s">
        <v>530</v>
      </c>
      <c r="X11" s="387" t="s">
        <v>530</v>
      </c>
    </row>
    <row r="12" spans="1:24" ht="12.75">
      <c r="A12" s="388" t="s">
        <v>541</v>
      </c>
      <c r="B12" s="389" t="s">
        <v>542</v>
      </c>
      <c r="C12" s="390">
        <v>221</v>
      </c>
      <c r="D12" s="390">
        <v>610</v>
      </c>
      <c r="E12" s="375" t="s">
        <v>530</v>
      </c>
      <c r="F12" s="376">
        <v>920</v>
      </c>
      <c r="G12" s="377">
        <v>975</v>
      </c>
      <c r="H12" s="378">
        <v>1032</v>
      </c>
      <c r="I12" s="378">
        <v>586</v>
      </c>
      <c r="J12" s="391" t="s">
        <v>530</v>
      </c>
      <c r="K12" s="392">
        <v>876</v>
      </c>
      <c r="L12" s="393">
        <v>652</v>
      </c>
      <c r="M12" s="394">
        <v>811</v>
      </c>
      <c r="N12" s="394">
        <v>1129</v>
      </c>
      <c r="O12" s="382">
        <v>1182</v>
      </c>
      <c r="P12" s="382">
        <v>1249</v>
      </c>
      <c r="Q12" s="384">
        <v>1198</v>
      </c>
      <c r="R12" s="384">
        <v>1335</v>
      </c>
      <c r="S12" s="384">
        <v>1340</v>
      </c>
      <c r="T12" s="384">
        <v>1556</v>
      </c>
      <c r="U12" s="384"/>
      <c r="V12" s="385"/>
      <c r="W12" s="386" t="s">
        <v>530</v>
      </c>
      <c r="X12" s="387" t="s">
        <v>530</v>
      </c>
    </row>
    <row r="13" spans="1:24" ht="13.5" thickBot="1">
      <c r="A13" s="346" t="s">
        <v>543</v>
      </c>
      <c r="B13" s="395" t="s">
        <v>544</v>
      </c>
      <c r="C13" s="396">
        <v>2021</v>
      </c>
      <c r="D13" s="396">
        <v>852</v>
      </c>
      <c r="E13" s="397" t="s">
        <v>545</v>
      </c>
      <c r="F13" s="398">
        <v>5418</v>
      </c>
      <c r="G13" s="399">
        <v>3509</v>
      </c>
      <c r="H13" s="400">
        <v>5236</v>
      </c>
      <c r="I13" s="400">
        <v>2489</v>
      </c>
      <c r="J13" s="401" t="s">
        <v>530</v>
      </c>
      <c r="K13" s="402">
        <v>3436</v>
      </c>
      <c r="L13" s="403">
        <v>2553</v>
      </c>
      <c r="M13" s="404">
        <v>866</v>
      </c>
      <c r="N13" s="404">
        <v>4828</v>
      </c>
      <c r="O13" s="403">
        <v>3111</v>
      </c>
      <c r="P13" s="403">
        <v>6159</v>
      </c>
      <c r="Q13" s="405">
        <v>7360</v>
      </c>
      <c r="R13" s="405">
        <v>5702</v>
      </c>
      <c r="S13" s="405">
        <v>4209</v>
      </c>
      <c r="T13" s="405">
        <v>7320</v>
      </c>
      <c r="U13" s="405"/>
      <c r="V13" s="406"/>
      <c r="W13" s="407" t="s">
        <v>530</v>
      </c>
      <c r="X13" s="359" t="s">
        <v>530</v>
      </c>
    </row>
    <row r="14" spans="1:24" ht="13.5" thickBot="1">
      <c r="A14" s="408" t="s">
        <v>546</v>
      </c>
      <c r="B14" s="409"/>
      <c r="C14" s="410">
        <v>24618</v>
      </c>
      <c r="D14" s="410">
        <v>24087</v>
      </c>
      <c r="E14" s="411"/>
      <c r="F14" s="412">
        <v>9516</v>
      </c>
      <c r="G14" s="413">
        <v>9516</v>
      </c>
      <c r="H14" s="412">
        <v>9034</v>
      </c>
      <c r="I14" s="412">
        <v>5277</v>
      </c>
      <c r="J14" s="414" t="s">
        <v>530</v>
      </c>
      <c r="K14" s="415">
        <v>6584</v>
      </c>
      <c r="L14" s="416">
        <v>5332</v>
      </c>
      <c r="M14" s="417">
        <v>3794</v>
      </c>
      <c r="N14" s="417">
        <v>8064</v>
      </c>
      <c r="O14" s="416">
        <v>6481</v>
      </c>
      <c r="P14" s="416">
        <v>9547</v>
      </c>
      <c r="Q14" s="418">
        <v>10703</v>
      </c>
      <c r="R14" s="418">
        <v>9132</v>
      </c>
      <c r="S14" s="418">
        <v>7921</v>
      </c>
      <c r="T14" s="418">
        <v>11216</v>
      </c>
      <c r="U14" s="418"/>
      <c r="V14" s="419"/>
      <c r="W14" s="420" t="s">
        <v>530</v>
      </c>
      <c r="X14" s="421" t="s">
        <v>530</v>
      </c>
    </row>
    <row r="15" spans="1:24" ht="12.75">
      <c r="A15" s="346" t="s">
        <v>547</v>
      </c>
      <c r="B15" s="373" t="s">
        <v>548</v>
      </c>
      <c r="C15" s="374">
        <v>7043</v>
      </c>
      <c r="D15" s="374">
        <v>7240</v>
      </c>
      <c r="E15" s="397">
        <v>401</v>
      </c>
      <c r="F15" s="398">
        <v>2330</v>
      </c>
      <c r="G15" s="399">
        <v>1966</v>
      </c>
      <c r="H15" s="400">
        <v>2011</v>
      </c>
      <c r="I15" s="400">
        <v>1536</v>
      </c>
      <c r="J15" s="380" t="s">
        <v>530</v>
      </c>
      <c r="K15" s="402">
        <v>1571</v>
      </c>
      <c r="L15" s="403">
        <v>2101</v>
      </c>
      <c r="M15" s="404">
        <v>1484</v>
      </c>
      <c r="N15" s="404">
        <v>1448</v>
      </c>
      <c r="O15" s="403">
        <v>1530</v>
      </c>
      <c r="P15" s="403">
        <v>1494</v>
      </c>
      <c r="Q15" s="405">
        <v>1457</v>
      </c>
      <c r="R15" s="405">
        <v>1418</v>
      </c>
      <c r="S15" s="405">
        <v>1713</v>
      </c>
      <c r="T15" s="405">
        <v>1791</v>
      </c>
      <c r="U15" s="405"/>
      <c r="V15" s="406"/>
      <c r="W15" s="407" t="s">
        <v>530</v>
      </c>
      <c r="X15" s="359" t="s">
        <v>530</v>
      </c>
    </row>
    <row r="16" spans="1:24" ht="12.75">
      <c r="A16" s="388" t="s">
        <v>549</v>
      </c>
      <c r="B16" s="389" t="s">
        <v>550</v>
      </c>
      <c r="C16" s="390">
        <v>1001</v>
      </c>
      <c r="D16" s="390">
        <v>820</v>
      </c>
      <c r="E16" s="375" t="s">
        <v>551</v>
      </c>
      <c r="F16" s="376">
        <v>1130</v>
      </c>
      <c r="G16" s="377">
        <v>1207</v>
      </c>
      <c r="H16" s="378">
        <v>1401</v>
      </c>
      <c r="I16" s="378">
        <v>1388</v>
      </c>
      <c r="J16" s="391" t="s">
        <v>530</v>
      </c>
      <c r="K16" s="381">
        <v>1332</v>
      </c>
      <c r="L16" s="382">
        <v>1256</v>
      </c>
      <c r="M16" s="383">
        <v>1575</v>
      </c>
      <c r="N16" s="383">
        <v>1652</v>
      </c>
      <c r="O16" s="382">
        <v>1561</v>
      </c>
      <c r="P16" s="382">
        <v>1664</v>
      </c>
      <c r="Q16" s="384">
        <v>1704</v>
      </c>
      <c r="R16" s="384">
        <v>1754</v>
      </c>
      <c r="S16" s="384">
        <v>1389</v>
      </c>
      <c r="T16" s="384">
        <v>1248</v>
      </c>
      <c r="U16" s="384"/>
      <c r="V16" s="385"/>
      <c r="W16" s="386" t="s">
        <v>530</v>
      </c>
      <c r="X16" s="387" t="s">
        <v>530</v>
      </c>
    </row>
    <row r="17" spans="1:24" ht="12.75">
      <c r="A17" s="388" t="s">
        <v>552</v>
      </c>
      <c r="B17" s="389" t="s">
        <v>553</v>
      </c>
      <c r="C17" s="390">
        <v>14718</v>
      </c>
      <c r="D17" s="390">
        <v>14718</v>
      </c>
      <c r="E17" s="375" t="s">
        <v>530</v>
      </c>
      <c r="F17" s="376">
        <v>0</v>
      </c>
      <c r="G17" s="377">
        <v>0</v>
      </c>
      <c r="H17" s="378">
        <v>0</v>
      </c>
      <c r="I17" s="378">
        <v>0</v>
      </c>
      <c r="J17" s="391" t="s">
        <v>530</v>
      </c>
      <c r="K17" s="392">
        <v>0</v>
      </c>
      <c r="L17" s="393">
        <v>0</v>
      </c>
      <c r="M17" s="394">
        <v>0</v>
      </c>
      <c r="N17" s="394">
        <v>0</v>
      </c>
      <c r="O17" s="382">
        <v>0</v>
      </c>
      <c r="P17" s="382">
        <v>0</v>
      </c>
      <c r="Q17" s="384">
        <v>0</v>
      </c>
      <c r="R17" s="384">
        <v>0</v>
      </c>
      <c r="S17" s="384">
        <v>0</v>
      </c>
      <c r="T17" s="384">
        <v>0</v>
      </c>
      <c r="U17" s="384"/>
      <c r="V17" s="385"/>
      <c r="W17" s="386" t="s">
        <v>530</v>
      </c>
      <c r="X17" s="387" t="s">
        <v>530</v>
      </c>
    </row>
    <row r="18" spans="1:24" ht="12.75">
      <c r="A18" s="388" t="s">
        <v>554</v>
      </c>
      <c r="B18" s="389" t="s">
        <v>555</v>
      </c>
      <c r="C18" s="390">
        <v>1758</v>
      </c>
      <c r="D18" s="390">
        <v>1762</v>
      </c>
      <c r="E18" s="375" t="s">
        <v>530</v>
      </c>
      <c r="F18" s="376">
        <v>6031</v>
      </c>
      <c r="G18" s="377">
        <v>4210</v>
      </c>
      <c r="H18" s="378">
        <v>5453</v>
      </c>
      <c r="I18" s="378">
        <v>8278</v>
      </c>
      <c r="J18" s="391" t="s">
        <v>530</v>
      </c>
      <c r="K18" s="392">
        <v>6392</v>
      </c>
      <c r="L18" s="393">
        <v>6101</v>
      </c>
      <c r="M18" s="394">
        <v>4691</v>
      </c>
      <c r="N18" s="394">
        <v>4166</v>
      </c>
      <c r="O18" s="382">
        <v>4390</v>
      </c>
      <c r="P18" s="382">
        <v>4532</v>
      </c>
      <c r="Q18" s="384">
        <v>4511</v>
      </c>
      <c r="R18" s="384">
        <v>4543</v>
      </c>
      <c r="S18" s="384">
        <v>4825</v>
      </c>
      <c r="T18" s="384">
        <v>4720</v>
      </c>
      <c r="U18" s="384"/>
      <c r="V18" s="385"/>
      <c r="W18" s="386" t="s">
        <v>530</v>
      </c>
      <c r="X18" s="387" t="s">
        <v>530</v>
      </c>
    </row>
    <row r="19" spans="1:24" ht="13.5" thickBot="1">
      <c r="A19" s="360" t="s">
        <v>556</v>
      </c>
      <c r="B19" s="422" t="s">
        <v>557</v>
      </c>
      <c r="C19" s="423">
        <v>0</v>
      </c>
      <c r="D19" s="423">
        <v>0</v>
      </c>
      <c r="E19" s="424" t="s">
        <v>530</v>
      </c>
      <c r="F19" s="376">
        <v>0</v>
      </c>
      <c r="G19" s="377">
        <v>0</v>
      </c>
      <c r="H19" s="378">
        <v>0</v>
      </c>
      <c r="I19" s="425">
        <v>0</v>
      </c>
      <c r="J19" s="426" t="s">
        <v>530</v>
      </c>
      <c r="K19" s="392">
        <v>0</v>
      </c>
      <c r="L19" s="393">
        <v>0</v>
      </c>
      <c r="M19" s="394">
        <v>0</v>
      </c>
      <c r="N19" s="394">
        <v>0</v>
      </c>
      <c r="O19" s="382">
        <v>0</v>
      </c>
      <c r="P19" s="382">
        <v>0</v>
      </c>
      <c r="Q19" s="384">
        <v>0</v>
      </c>
      <c r="R19" s="384">
        <v>0</v>
      </c>
      <c r="S19" s="384">
        <v>0</v>
      </c>
      <c r="T19" s="384">
        <v>0</v>
      </c>
      <c r="U19" s="384"/>
      <c r="V19" s="385"/>
      <c r="W19" s="427" t="s">
        <v>530</v>
      </c>
      <c r="X19" s="428" t="s">
        <v>530</v>
      </c>
    </row>
    <row r="20" spans="1:24" ht="15">
      <c r="A20" s="429" t="s">
        <v>558</v>
      </c>
      <c r="B20" s="373" t="s">
        <v>559</v>
      </c>
      <c r="C20" s="374">
        <v>12472</v>
      </c>
      <c r="D20" s="374">
        <v>13728</v>
      </c>
      <c r="E20" s="430" t="s">
        <v>530</v>
      </c>
      <c r="F20" s="431">
        <v>24200</v>
      </c>
      <c r="G20" s="432">
        <v>25027</v>
      </c>
      <c r="H20" s="433">
        <v>26221</v>
      </c>
      <c r="I20" s="433">
        <v>16950</v>
      </c>
      <c r="J20" s="434">
        <v>23487</v>
      </c>
      <c r="K20" s="435">
        <v>2000</v>
      </c>
      <c r="L20" s="436">
        <v>2000</v>
      </c>
      <c r="M20" s="437">
        <v>4200</v>
      </c>
      <c r="N20" s="437">
        <v>6115</v>
      </c>
      <c r="O20" s="437">
        <v>0</v>
      </c>
      <c r="P20" s="437">
        <v>4586</v>
      </c>
      <c r="Q20" s="437">
        <v>2790</v>
      </c>
      <c r="R20" s="437">
        <v>0</v>
      </c>
      <c r="S20" s="437">
        <v>0</v>
      </c>
      <c r="T20" s="437">
        <v>4586</v>
      </c>
      <c r="U20" s="437"/>
      <c r="V20" s="438"/>
      <c r="W20" s="439">
        <f>SUM(K20:V20)</f>
        <v>26277</v>
      </c>
      <c r="X20" s="440">
        <f>IF(J20&lt;&gt;0,+W20/J20*100," - - - - -")</f>
        <v>111.87891173840848</v>
      </c>
    </row>
    <row r="21" spans="1:24" ht="15">
      <c r="A21" s="388" t="s">
        <v>560</v>
      </c>
      <c r="B21" s="389" t="s">
        <v>561</v>
      </c>
      <c r="C21" s="390">
        <v>0</v>
      </c>
      <c r="D21" s="390">
        <v>0</v>
      </c>
      <c r="E21" s="441" t="s">
        <v>530</v>
      </c>
      <c r="F21" s="376">
        <v>0</v>
      </c>
      <c r="G21" s="377">
        <v>0</v>
      </c>
      <c r="H21" s="378">
        <v>0</v>
      </c>
      <c r="I21" s="378">
        <v>0</v>
      </c>
      <c r="J21" s="442">
        <v>0</v>
      </c>
      <c r="K21" s="443">
        <v>0</v>
      </c>
      <c r="L21" s="444">
        <v>0</v>
      </c>
      <c r="M21" s="384">
        <v>0</v>
      </c>
      <c r="N21" s="384">
        <v>0</v>
      </c>
      <c r="O21" s="384">
        <v>0</v>
      </c>
      <c r="P21" s="384">
        <v>0</v>
      </c>
      <c r="Q21" s="384">
        <v>0</v>
      </c>
      <c r="R21" s="384">
        <v>0</v>
      </c>
      <c r="S21" s="384">
        <v>0</v>
      </c>
      <c r="T21" s="384">
        <v>0</v>
      </c>
      <c r="U21" s="384"/>
      <c r="V21" s="385"/>
      <c r="W21" s="445">
        <f aca="true" t="shared" si="0" ref="W21:W43">SUM(K21:V21)</f>
        <v>0</v>
      </c>
      <c r="X21" s="446" t="str">
        <f aca="true" t="shared" si="1" ref="X21:X43">IF(J21&lt;&gt;0,+W21/J21*100," - - - - -")</f>
        <v> - - - - -</v>
      </c>
    </row>
    <row r="22" spans="1:24" ht="15.75" thickBot="1">
      <c r="A22" s="360" t="s">
        <v>562</v>
      </c>
      <c r="B22" s="422" t="s">
        <v>561</v>
      </c>
      <c r="C22" s="423">
        <v>0</v>
      </c>
      <c r="D22" s="423">
        <v>1215</v>
      </c>
      <c r="E22" s="447">
        <v>672</v>
      </c>
      <c r="F22" s="448">
        <v>7300</v>
      </c>
      <c r="G22" s="399">
        <v>8200</v>
      </c>
      <c r="H22" s="400">
        <v>6200</v>
      </c>
      <c r="I22" s="449">
        <v>12200</v>
      </c>
      <c r="J22" s="450">
        <v>8200</v>
      </c>
      <c r="K22" s="451">
        <v>2000</v>
      </c>
      <c r="L22" s="452">
        <v>2000</v>
      </c>
      <c r="M22" s="405">
        <v>4200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05">
        <v>0</v>
      </c>
      <c r="T22" s="405">
        <v>0</v>
      </c>
      <c r="U22" s="405"/>
      <c r="V22" s="406"/>
      <c r="W22" s="453">
        <f t="shared" si="0"/>
        <v>8200</v>
      </c>
      <c r="X22" s="454">
        <f t="shared" si="1"/>
        <v>100</v>
      </c>
    </row>
    <row r="23" spans="1:24" ht="15.75" thickBot="1">
      <c r="A23" s="372" t="s">
        <v>563</v>
      </c>
      <c r="B23" s="373" t="s">
        <v>564</v>
      </c>
      <c r="C23" s="374">
        <v>6341</v>
      </c>
      <c r="D23" s="374">
        <v>6960</v>
      </c>
      <c r="E23" s="455">
        <v>501</v>
      </c>
      <c r="F23" s="456">
        <v>17004</v>
      </c>
      <c r="G23" s="432">
        <v>13339</v>
      </c>
      <c r="H23" s="433">
        <v>13542</v>
      </c>
      <c r="I23" s="449">
        <v>11081</v>
      </c>
      <c r="J23" s="457">
        <v>8190</v>
      </c>
      <c r="K23" s="458">
        <v>970</v>
      </c>
      <c r="L23" s="436">
        <v>869</v>
      </c>
      <c r="M23" s="436">
        <v>891</v>
      </c>
      <c r="N23" s="436">
        <v>937</v>
      </c>
      <c r="O23" s="436">
        <v>914</v>
      </c>
      <c r="P23" s="436">
        <v>897</v>
      </c>
      <c r="Q23" s="436">
        <v>865</v>
      </c>
      <c r="R23" s="436">
        <v>918</v>
      </c>
      <c r="S23" s="436">
        <v>878</v>
      </c>
      <c r="T23" s="436">
        <v>995</v>
      </c>
      <c r="U23" s="436"/>
      <c r="V23" s="459"/>
      <c r="W23" s="460">
        <f t="shared" si="0"/>
        <v>9134</v>
      </c>
      <c r="X23" s="461">
        <f t="shared" si="1"/>
        <v>111.52625152625153</v>
      </c>
    </row>
    <row r="24" spans="1:24" ht="15">
      <c r="A24" s="388" t="s">
        <v>565</v>
      </c>
      <c r="B24" s="389" t="s">
        <v>566</v>
      </c>
      <c r="C24" s="390">
        <v>1745</v>
      </c>
      <c r="D24" s="390">
        <v>2223</v>
      </c>
      <c r="E24" s="462">
        <v>502</v>
      </c>
      <c r="F24" s="463">
        <v>4342</v>
      </c>
      <c r="G24" s="377">
        <v>4564</v>
      </c>
      <c r="H24" s="378">
        <v>4450</v>
      </c>
      <c r="I24" s="464">
        <v>3230</v>
      </c>
      <c r="J24" s="465">
        <v>4720</v>
      </c>
      <c r="K24" s="466">
        <v>82</v>
      </c>
      <c r="L24" s="384">
        <v>613</v>
      </c>
      <c r="M24" s="384">
        <v>1233</v>
      </c>
      <c r="N24" s="384">
        <v>41</v>
      </c>
      <c r="O24" s="384">
        <v>237</v>
      </c>
      <c r="P24" s="384">
        <v>481</v>
      </c>
      <c r="Q24" s="384">
        <v>147</v>
      </c>
      <c r="R24" s="384">
        <v>234</v>
      </c>
      <c r="S24" s="384">
        <v>313</v>
      </c>
      <c r="T24" s="384">
        <v>129</v>
      </c>
      <c r="U24" s="384"/>
      <c r="V24" s="467"/>
      <c r="W24" s="460">
        <f t="shared" si="0"/>
        <v>3510</v>
      </c>
      <c r="X24" s="446">
        <f t="shared" si="1"/>
        <v>74.36440677966102</v>
      </c>
    </row>
    <row r="25" spans="1:24" ht="15">
      <c r="A25" s="388" t="s">
        <v>567</v>
      </c>
      <c r="B25" s="389" t="s">
        <v>568</v>
      </c>
      <c r="C25" s="390">
        <v>0</v>
      </c>
      <c r="D25" s="390">
        <v>0</v>
      </c>
      <c r="E25" s="462">
        <v>504</v>
      </c>
      <c r="F25" s="463">
        <v>0</v>
      </c>
      <c r="G25" s="377">
        <v>0</v>
      </c>
      <c r="H25" s="378">
        <v>0</v>
      </c>
      <c r="I25" s="468">
        <v>0</v>
      </c>
      <c r="J25" s="465">
        <v>0</v>
      </c>
      <c r="K25" s="466">
        <v>0</v>
      </c>
      <c r="L25" s="384">
        <v>0</v>
      </c>
      <c r="M25" s="384"/>
      <c r="N25" s="384">
        <v>0</v>
      </c>
      <c r="O25" s="384">
        <v>0</v>
      </c>
      <c r="P25" s="384">
        <v>0</v>
      </c>
      <c r="Q25" s="384">
        <v>0</v>
      </c>
      <c r="R25" s="384">
        <v>0</v>
      </c>
      <c r="S25" s="384">
        <v>0</v>
      </c>
      <c r="T25" s="384">
        <v>0</v>
      </c>
      <c r="U25" s="384"/>
      <c r="V25" s="467"/>
      <c r="W25" s="460">
        <f t="shared" si="0"/>
        <v>0</v>
      </c>
      <c r="X25" s="446" t="str">
        <f t="shared" si="1"/>
        <v> - - - - -</v>
      </c>
    </row>
    <row r="26" spans="1:24" ht="15">
      <c r="A26" s="388" t="s">
        <v>569</v>
      </c>
      <c r="B26" s="389" t="s">
        <v>570</v>
      </c>
      <c r="C26" s="390">
        <v>428</v>
      </c>
      <c r="D26" s="390">
        <v>253</v>
      </c>
      <c r="E26" s="462">
        <v>511</v>
      </c>
      <c r="F26" s="463">
        <v>3058</v>
      </c>
      <c r="G26" s="377">
        <v>2570</v>
      </c>
      <c r="H26" s="378">
        <v>1878</v>
      </c>
      <c r="I26" s="468">
        <v>298</v>
      </c>
      <c r="J26" s="465">
        <v>385</v>
      </c>
      <c r="K26" s="466">
        <v>35</v>
      </c>
      <c r="L26" s="384">
        <v>19</v>
      </c>
      <c r="M26" s="384">
        <v>18</v>
      </c>
      <c r="N26" s="384">
        <v>18</v>
      </c>
      <c r="O26" s="384">
        <v>59</v>
      </c>
      <c r="P26" s="384">
        <v>29</v>
      </c>
      <c r="Q26" s="384">
        <v>36</v>
      </c>
      <c r="R26" s="384">
        <v>280</v>
      </c>
      <c r="S26" s="384">
        <v>31</v>
      </c>
      <c r="T26" s="384">
        <v>35</v>
      </c>
      <c r="U26" s="384"/>
      <c r="V26" s="467"/>
      <c r="W26" s="460">
        <f t="shared" si="0"/>
        <v>560</v>
      </c>
      <c r="X26" s="446">
        <f t="shared" si="1"/>
        <v>145.45454545454547</v>
      </c>
    </row>
    <row r="27" spans="1:24" ht="15">
      <c r="A27" s="388" t="s">
        <v>571</v>
      </c>
      <c r="B27" s="389" t="s">
        <v>572</v>
      </c>
      <c r="C27" s="390">
        <v>1057</v>
      </c>
      <c r="D27" s="390">
        <v>1451</v>
      </c>
      <c r="E27" s="462">
        <v>518</v>
      </c>
      <c r="F27" s="463">
        <v>5195</v>
      </c>
      <c r="G27" s="377">
        <v>5446</v>
      </c>
      <c r="H27" s="378">
        <v>5643</v>
      </c>
      <c r="I27" s="468">
        <v>4031</v>
      </c>
      <c r="J27" s="465">
        <v>3220</v>
      </c>
      <c r="K27" s="466">
        <v>378</v>
      </c>
      <c r="L27" s="384">
        <v>260</v>
      </c>
      <c r="M27" s="384">
        <v>292</v>
      </c>
      <c r="N27" s="384">
        <v>235</v>
      </c>
      <c r="O27" s="384">
        <v>326</v>
      </c>
      <c r="P27" s="384">
        <v>340</v>
      </c>
      <c r="Q27" s="384">
        <v>437</v>
      </c>
      <c r="R27" s="384">
        <v>225</v>
      </c>
      <c r="S27" s="384">
        <v>228</v>
      </c>
      <c r="T27" s="384">
        <v>270</v>
      </c>
      <c r="U27" s="384"/>
      <c r="V27" s="467"/>
      <c r="W27" s="460">
        <f t="shared" si="0"/>
        <v>2991</v>
      </c>
      <c r="X27" s="446">
        <f t="shared" si="1"/>
        <v>92.88819875776397</v>
      </c>
    </row>
    <row r="28" spans="1:24" ht="15">
      <c r="A28" s="388" t="s">
        <v>573</v>
      </c>
      <c r="B28" s="469" t="s">
        <v>574</v>
      </c>
      <c r="C28" s="390">
        <v>10408</v>
      </c>
      <c r="D28" s="390">
        <v>11792</v>
      </c>
      <c r="E28" s="462">
        <v>521</v>
      </c>
      <c r="F28" s="463">
        <v>26441</v>
      </c>
      <c r="G28" s="377">
        <v>29754</v>
      </c>
      <c r="H28" s="378">
        <v>30358</v>
      </c>
      <c r="I28" s="468">
        <v>30500</v>
      </c>
      <c r="J28" s="465">
        <v>30400</v>
      </c>
      <c r="K28" s="468">
        <v>2943</v>
      </c>
      <c r="L28" s="384">
        <v>2473</v>
      </c>
      <c r="M28" s="384">
        <v>2477</v>
      </c>
      <c r="N28" s="384">
        <v>2467</v>
      </c>
      <c r="O28" s="384">
        <v>2573</v>
      </c>
      <c r="P28" s="384">
        <v>2434</v>
      </c>
      <c r="Q28" s="384">
        <v>2639</v>
      </c>
      <c r="R28" s="384">
        <v>2555</v>
      </c>
      <c r="S28" s="384">
        <v>2583</v>
      </c>
      <c r="T28" s="384">
        <v>2557</v>
      </c>
      <c r="U28" s="384"/>
      <c r="V28" s="467"/>
      <c r="W28" s="460">
        <f t="shared" si="0"/>
        <v>25701</v>
      </c>
      <c r="X28" s="446">
        <f t="shared" si="1"/>
        <v>84.54276315789474</v>
      </c>
    </row>
    <row r="29" spans="1:24" ht="15">
      <c r="A29" s="388" t="s">
        <v>575</v>
      </c>
      <c r="B29" s="469" t="s">
        <v>576</v>
      </c>
      <c r="C29" s="390">
        <v>3640</v>
      </c>
      <c r="D29" s="390">
        <v>4174</v>
      </c>
      <c r="E29" s="462" t="s">
        <v>577</v>
      </c>
      <c r="F29" s="463">
        <v>8345</v>
      </c>
      <c r="G29" s="377">
        <v>10022</v>
      </c>
      <c r="H29" s="378">
        <v>10317</v>
      </c>
      <c r="I29" s="468">
        <v>10420</v>
      </c>
      <c r="J29" s="465">
        <v>10290</v>
      </c>
      <c r="K29" s="468">
        <v>953</v>
      </c>
      <c r="L29" s="384">
        <v>825</v>
      </c>
      <c r="M29" s="384">
        <v>826</v>
      </c>
      <c r="N29" s="384">
        <v>823</v>
      </c>
      <c r="O29" s="384">
        <v>863</v>
      </c>
      <c r="P29" s="384">
        <v>936</v>
      </c>
      <c r="Q29" s="384">
        <v>890</v>
      </c>
      <c r="R29" s="384">
        <v>885</v>
      </c>
      <c r="S29" s="384">
        <v>930</v>
      </c>
      <c r="T29" s="384">
        <v>886</v>
      </c>
      <c r="U29" s="384"/>
      <c r="V29" s="467"/>
      <c r="W29" s="460">
        <f t="shared" si="0"/>
        <v>8817</v>
      </c>
      <c r="X29" s="446">
        <f t="shared" si="1"/>
        <v>85.68513119533527</v>
      </c>
    </row>
    <row r="30" spans="1:24" ht="15">
      <c r="A30" s="388" t="s">
        <v>578</v>
      </c>
      <c r="B30" s="389" t="s">
        <v>579</v>
      </c>
      <c r="C30" s="390">
        <v>0</v>
      </c>
      <c r="D30" s="390">
        <v>0</v>
      </c>
      <c r="E30" s="462">
        <v>557</v>
      </c>
      <c r="F30" s="463">
        <v>0</v>
      </c>
      <c r="G30" s="377">
        <v>0</v>
      </c>
      <c r="H30" s="378">
        <v>0</v>
      </c>
      <c r="I30" s="468">
        <v>0</v>
      </c>
      <c r="J30" s="465">
        <v>0</v>
      </c>
      <c r="K30" s="466">
        <v>0</v>
      </c>
      <c r="L30" s="384">
        <v>0</v>
      </c>
      <c r="M30" s="384">
        <v>0</v>
      </c>
      <c r="N30" s="384">
        <v>0</v>
      </c>
      <c r="O30" s="384">
        <v>0</v>
      </c>
      <c r="P30" s="384">
        <v>0</v>
      </c>
      <c r="Q30" s="384">
        <v>0</v>
      </c>
      <c r="R30" s="384">
        <v>0</v>
      </c>
      <c r="S30" s="384">
        <v>0</v>
      </c>
      <c r="T30" s="384">
        <v>0</v>
      </c>
      <c r="U30" s="384"/>
      <c r="V30" s="467"/>
      <c r="W30" s="460">
        <f t="shared" si="0"/>
        <v>0</v>
      </c>
      <c r="X30" s="446" t="str">
        <f t="shared" si="1"/>
        <v> - - - - -</v>
      </c>
    </row>
    <row r="31" spans="1:24" ht="15">
      <c r="A31" s="388" t="s">
        <v>580</v>
      </c>
      <c r="B31" s="389" t="s">
        <v>581</v>
      </c>
      <c r="C31" s="390">
        <v>1711</v>
      </c>
      <c r="D31" s="390">
        <v>1801</v>
      </c>
      <c r="E31" s="462">
        <v>551</v>
      </c>
      <c r="F31" s="463">
        <v>700</v>
      </c>
      <c r="G31" s="377">
        <v>801</v>
      </c>
      <c r="H31" s="378">
        <v>648</v>
      </c>
      <c r="I31" s="468">
        <v>475</v>
      </c>
      <c r="J31" s="465">
        <v>450</v>
      </c>
      <c r="K31" s="466">
        <v>35</v>
      </c>
      <c r="L31" s="384">
        <v>36</v>
      </c>
      <c r="M31" s="384">
        <v>36</v>
      </c>
      <c r="N31" s="384">
        <v>36</v>
      </c>
      <c r="O31" s="384">
        <v>35</v>
      </c>
      <c r="P31" s="384">
        <v>37</v>
      </c>
      <c r="Q31" s="384">
        <v>37</v>
      </c>
      <c r="R31" s="384">
        <v>39</v>
      </c>
      <c r="S31" s="384">
        <v>37</v>
      </c>
      <c r="T31" s="384">
        <v>40</v>
      </c>
      <c r="U31" s="384"/>
      <c r="V31" s="467"/>
      <c r="W31" s="460">
        <f t="shared" si="0"/>
        <v>368</v>
      </c>
      <c r="X31" s="446">
        <f t="shared" si="1"/>
        <v>81.77777777777779</v>
      </c>
    </row>
    <row r="32" spans="1:24" ht="15.75" thickBot="1">
      <c r="A32" s="346" t="s">
        <v>582</v>
      </c>
      <c r="B32" s="395"/>
      <c r="C32" s="396">
        <v>569</v>
      </c>
      <c r="D32" s="396">
        <v>614</v>
      </c>
      <c r="E32" s="470" t="s">
        <v>583</v>
      </c>
      <c r="F32" s="471">
        <v>853</v>
      </c>
      <c r="G32" s="472">
        <v>1120</v>
      </c>
      <c r="H32" s="449">
        <v>863</v>
      </c>
      <c r="I32" s="468">
        <v>1061</v>
      </c>
      <c r="J32" s="473">
        <v>1255</v>
      </c>
      <c r="K32" s="474">
        <v>132</v>
      </c>
      <c r="L32" s="475">
        <v>71</v>
      </c>
      <c r="M32" s="475">
        <v>46</v>
      </c>
      <c r="N32" s="475">
        <v>96</v>
      </c>
      <c r="O32" s="475">
        <v>77</v>
      </c>
      <c r="P32" s="475">
        <v>171</v>
      </c>
      <c r="Q32" s="475">
        <v>47</v>
      </c>
      <c r="R32" s="475">
        <v>107</v>
      </c>
      <c r="S32" s="475">
        <v>139</v>
      </c>
      <c r="T32" s="475">
        <v>138</v>
      </c>
      <c r="U32" s="475"/>
      <c r="V32" s="476"/>
      <c r="W32" s="477">
        <f t="shared" si="0"/>
        <v>1024</v>
      </c>
      <c r="X32" s="478">
        <f t="shared" si="1"/>
        <v>81.59362549800797</v>
      </c>
    </row>
    <row r="33" spans="1:24" ht="15.75" thickBot="1">
      <c r="A33" s="479" t="s">
        <v>584</v>
      </c>
      <c r="B33" s="480" t="s">
        <v>585</v>
      </c>
      <c r="C33" s="481">
        <v>25899</v>
      </c>
      <c r="D33" s="481">
        <v>29268</v>
      </c>
      <c r="E33" s="482"/>
      <c r="F33" s="483">
        <v>65938</v>
      </c>
      <c r="G33" s="484">
        <v>67288</v>
      </c>
      <c r="H33" s="481">
        <v>67699</v>
      </c>
      <c r="I33" s="481">
        <v>61096</v>
      </c>
      <c r="J33" s="485">
        <f>SUM(J23:J32)</f>
        <v>58910</v>
      </c>
      <c r="K33" s="484">
        <f>SUM(K23:K32)</f>
        <v>5528</v>
      </c>
      <c r="L33" s="486">
        <f>SUM(L23:L32)</f>
        <v>5166</v>
      </c>
      <c r="M33" s="486">
        <f aca="true" t="shared" si="2" ref="M33:V33">SUM(M23:M32)</f>
        <v>5819</v>
      </c>
      <c r="N33" s="486">
        <f t="shared" si="2"/>
        <v>4653</v>
      </c>
      <c r="O33" s="486">
        <f t="shared" si="2"/>
        <v>5084</v>
      </c>
      <c r="P33" s="486">
        <f t="shared" si="2"/>
        <v>5325</v>
      </c>
      <c r="Q33" s="486">
        <f t="shared" si="2"/>
        <v>5098</v>
      </c>
      <c r="R33" s="486">
        <f t="shared" si="2"/>
        <v>5243</v>
      </c>
      <c r="S33" s="486">
        <f t="shared" si="2"/>
        <v>5139</v>
      </c>
      <c r="T33" s="486">
        <f t="shared" si="2"/>
        <v>5050</v>
      </c>
      <c r="U33" s="486">
        <f t="shared" si="2"/>
        <v>0</v>
      </c>
      <c r="V33" s="486">
        <f t="shared" si="2"/>
        <v>0</v>
      </c>
      <c r="W33" s="487">
        <f t="shared" si="0"/>
        <v>52105</v>
      </c>
      <c r="X33" s="488">
        <f t="shared" si="1"/>
        <v>88.44848073332201</v>
      </c>
    </row>
    <row r="34" spans="1:24" ht="15">
      <c r="A34" s="372" t="s">
        <v>586</v>
      </c>
      <c r="B34" s="373" t="s">
        <v>587</v>
      </c>
      <c r="C34" s="374">
        <v>0</v>
      </c>
      <c r="D34" s="374">
        <v>0</v>
      </c>
      <c r="E34" s="455">
        <v>601</v>
      </c>
      <c r="F34" s="489">
        <v>2899</v>
      </c>
      <c r="G34" s="490">
        <v>2880</v>
      </c>
      <c r="H34" s="491">
        <v>2944</v>
      </c>
      <c r="I34" s="491">
        <v>3214</v>
      </c>
      <c r="J34" s="434">
        <v>2400</v>
      </c>
      <c r="K34" s="443">
        <v>264</v>
      </c>
      <c r="L34" s="384">
        <v>148</v>
      </c>
      <c r="M34" s="384">
        <v>159</v>
      </c>
      <c r="N34" s="384">
        <v>187</v>
      </c>
      <c r="O34" s="384">
        <v>158</v>
      </c>
      <c r="P34" s="384">
        <v>138</v>
      </c>
      <c r="Q34" s="384">
        <v>150</v>
      </c>
      <c r="R34" s="384">
        <v>154</v>
      </c>
      <c r="S34" s="384">
        <v>147</v>
      </c>
      <c r="T34" s="384">
        <v>165</v>
      </c>
      <c r="U34" s="384"/>
      <c r="V34" s="385"/>
      <c r="W34" s="492">
        <f t="shared" si="0"/>
        <v>1670</v>
      </c>
      <c r="X34" s="461">
        <f t="shared" si="1"/>
        <v>69.58333333333333</v>
      </c>
    </row>
    <row r="35" spans="1:24" ht="15">
      <c r="A35" s="388" t="s">
        <v>588</v>
      </c>
      <c r="B35" s="389" t="s">
        <v>589</v>
      </c>
      <c r="C35" s="390">
        <v>1190</v>
      </c>
      <c r="D35" s="390">
        <v>1857</v>
      </c>
      <c r="E35" s="462">
        <v>602</v>
      </c>
      <c r="F35" s="493">
        <v>5666</v>
      </c>
      <c r="G35" s="494">
        <v>5586</v>
      </c>
      <c r="H35" s="495">
        <v>6073</v>
      </c>
      <c r="I35" s="491">
        <v>4204</v>
      </c>
      <c r="J35" s="442">
        <v>3800</v>
      </c>
      <c r="K35" s="443">
        <v>361</v>
      </c>
      <c r="L35" s="384">
        <v>318</v>
      </c>
      <c r="M35" s="384">
        <v>384</v>
      </c>
      <c r="N35" s="384">
        <v>353</v>
      </c>
      <c r="O35" s="384">
        <v>353</v>
      </c>
      <c r="P35" s="384">
        <v>351</v>
      </c>
      <c r="Q35" s="384">
        <v>381</v>
      </c>
      <c r="R35" s="384">
        <v>390</v>
      </c>
      <c r="S35" s="384">
        <v>378</v>
      </c>
      <c r="T35" s="384">
        <v>454</v>
      </c>
      <c r="U35" s="384"/>
      <c r="V35" s="385"/>
      <c r="W35" s="445">
        <f t="shared" si="0"/>
        <v>3723</v>
      </c>
      <c r="X35" s="446">
        <f t="shared" si="1"/>
        <v>97.97368421052632</v>
      </c>
    </row>
    <row r="36" spans="1:24" ht="15">
      <c r="A36" s="388" t="s">
        <v>590</v>
      </c>
      <c r="B36" s="389" t="s">
        <v>591</v>
      </c>
      <c r="C36" s="390">
        <v>0</v>
      </c>
      <c r="D36" s="390">
        <v>0</v>
      </c>
      <c r="E36" s="462">
        <v>604</v>
      </c>
      <c r="F36" s="493">
        <v>0</v>
      </c>
      <c r="G36" s="494">
        <v>0</v>
      </c>
      <c r="H36" s="495">
        <v>0</v>
      </c>
      <c r="I36" s="495">
        <v>0</v>
      </c>
      <c r="J36" s="442">
        <v>0</v>
      </c>
      <c r="K36" s="443">
        <v>0</v>
      </c>
      <c r="L36" s="384">
        <v>0</v>
      </c>
      <c r="M36" s="384">
        <v>0</v>
      </c>
      <c r="N36" s="384">
        <v>0</v>
      </c>
      <c r="O36" s="384">
        <v>0</v>
      </c>
      <c r="P36" s="384">
        <v>0</v>
      </c>
      <c r="Q36" s="384">
        <v>0</v>
      </c>
      <c r="R36" s="384">
        <v>0</v>
      </c>
      <c r="S36" s="384">
        <v>0</v>
      </c>
      <c r="T36" s="384">
        <v>0</v>
      </c>
      <c r="U36" s="384"/>
      <c r="V36" s="385"/>
      <c r="W36" s="445">
        <f t="shared" si="0"/>
        <v>0</v>
      </c>
      <c r="X36" s="446" t="str">
        <f t="shared" si="1"/>
        <v> - - - - -</v>
      </c>
    </row>
    <row r="37" spans="1:24" ht="15">
      <c r="A37" s="388" t="s">
        <v>592</v>
      </c>
      <c r="B37" s="389" t="s">
        <v>593</v>
      </c>
      <c r="C37" s="390">
        <v>12472</v>
      </c>
      <c r="D37" s="390">
        <v>13728</v>
      </c>
      <c r="E37" s="462" t="s">
        <v>594</v>
      </c>
      <c r="F37" s="493">
        <v>24200</v>
      </c>
      <c r="G37" s="494">
        <v>25527</v>
      </c>
      <c r="H37" s="495">
        <v>26221</v>
      </c>
      <c r="I37" s="495">
        <v>12950</v>
      </c>
      <c r="J37" s="442">
        <v>23487</v>
      </c>
      <c r="K37" s="443">
        <v>2000</v>
      </c>
      <c r="L37" s="384">
        <v>2000</v>
      </c>
      <c r="M37" s="384">
        <v>4200</v>
      </c>
      <c r="N37" s="384">
        <v>6115</v>
      </c>
      <c r="O37" s="384">
        <v>0</v>
      </c>
      <c r="P37" s="384">
        <v>4586</v>
      </c>
      <c r="Q37" s="384">
        <v>2790</v>
      </c>
      <c r="R37" s="384">
        <v>0</v>
      </c>
      <c r="S37" s="384">
        <v>0</v>
      </c>
      <c r="T37" s="384">
        <v>4586</v>
      </c>
      <c r="U37" s="384"/>
      <c r="V37" s="385"/>
      <c r="W37" s="445">
        <f t="shared" si="0"/>
        <v>26277</v>
      </c>
      <c r="X37" s="446">
        <f t="shared" si="1"/>
        <v>111.87891173840848</v>
      </c>
    </row>
    <row r="38" spans="1:24" ht="15.75" thickBot="1">
      <c r="A38" s="346" t="s">
        <v>595</v>
      </c>
      <c r="B38" s="395"/>
      <c r="C38" s="396">
        <v>12330</v>
      </c>
      <c r="D38" s="396">
        <v>13218</v>
      </c>
      <c r="E38" s="470" t="s">
        <v>596</v>
      </c>
      <c r="F38" s="496">
        <v>33197</v>
      </c>
      <c r="G38" s="497">
        <v>33218</v>
      </c>
      <c r="H38" s="498">
        <v>32629</v>
      </c>
      <c r="I38" s="495">
        <v>34803</v>
      </c>
      <c r="J38" s="499">
        <v>35200</v>
      </c>
      <c r="K38" s="500">
        <v>2924</v>
      </c>
      <c r="L38" s="405">
        <v>2840</v>
      </c>
      <c r="M38" s="405">
        <v>2886</v>
      </c>
      <c r="N38" s="405">
        <v>2778</v>
      </c>
      <c r="O38" s="405">
        <v>2928</v>
      </c>
      <c r="P38" s="405">
        <v>2899</v>
      </c>
      <c r="Q38" s="405">
        <v>2952</v>
      </c>
      <c r="R38" s="405">
        <v>3000</v>
      </c>
      <c r="S38" s="405">
        <v>3255</v>
      </c>
      <c r="T38" s="405">
        <v>3306</v>
      </c>
      <c r="U38" s="405"/>
      <c r="V38" s="406"/>
      <c r="W38" s="445">
        <f t="shared" si="0"/>
        <v>29768</v>
      </c>
      <c r="X38" s="478">
        <f t="shared" si="1"/>
        <v>84.56818181818181</v>
      </c>
    </row>
    <row r="39" spans="1:24" ht="15.75" thickBot="1">
      <c r="A39" s="479" t="s">
        <v>597</v>
      </c>
      <c r="B39" s="480" t="s">
        <v>598</v>
      </c>
      <c r="C39" s="481">
        <v>25992</v>
      </c>
      <c r="D39" s="481">
        <v>28803</v>
      </c>
      <c r="E39" s="482" t="s">
        <v>530</v>
      </c>
      <c r="F39" s="481">
        <v>65962</v>
      </c>
      <c r="G39" s="487">
        <v>65962</v>
      </c>
      <c r="H39" s="481">
        <v>67867</v>
      </c>
      <c r="I39" s="484">
        <v>55171</v>
      </c>
      <c r="J39" s="501">
        <f>SUM(J34:J38)</f>
        <v>64887</v>
      </c>
      <c r="K39" s="486">
        <f>SUM(K34:K38)</f>
        <v>5549</v>
      </c>
      <c r="L39" s="486">
        <f>SUM(L34:L38)</f>
        <v>5306</v>
      </c>
      <c r="M39" s="502">
        <f aca="true" t="shared" si="3" ref="M39:V39">SUM(M34:M38)</f>
        <v>7629</v>
      </c>
      <c r="N39" s="502">
        <f t="shared" si="3"/>
        <v>9433</v>
      </c>
      <c r="O39" s="486">
        <f t="shared" si="3"/>
        <v>3439</v>
      </c>
      <c r="P39" s="486">
        <f t="shared" si="3"/>
        <v>7974</v>
      </c>
      <c r="Q39" s="486">
        <f t="shared" si="3"/>
        <v>6273</v>
      </c>
      <c r="R39" s="486">
        <f t="shared" si="3"/>
        <v>3544</v>
      </c>
      <c r="S39" s="486">
        <f t="shared" si="3"/>
        <v>3780</v>
      </c>
      <c r="T39" s="486">
        <f t="shared" si="3"/>
        <v>8511</v>
      </c>
      <c r="U39" s="486">
        <f t="shared" si="3"/>
        <v>0</v>
      </c>
      <c r="V39" s="486">
        <f t="shared" si="3"/>
        <v>0</v>
      </c>
      <c r="W39" s="487">
        <f t="shared" si="0"/>
        <v>61438</v>
      </c>
      <c r="X39" s="488">
        <f t="shared" si="1"/>
        <v>94.68460554502443</v>
      </c>
    </row>
    <row r="40" spans="1:24" ht="6.75" customHeight="1" thickBot="1">
      <c r="A40" s="346"/>
      <c r="B40" s="503"/>
      <c r="C40" s="504"/>
      <c r="D40" s="504"/>
      <c r="E40" s="505"/>
      <c r="F40" s="506"/>
      <c r="G40" s="506"/>
      <c r="H40" s="506"/>
      <c r="I40" s="506"/>
      <c r="J40" s="507"/>
      <c r="K40" s="508"/>
      <c r="L40" s="509"/>
      <c r="M40" s="510"/>
      <c r="N40" s="510"/>
      <c r="O40" s="509"/>
      <c r="P40" s="509"/>
      <c r="Q40" s="509"/>
      <c r="R40" s="509"/>
      <c r="S40" s="509"/>
      <c r="T40" s="509"/>
      <c r="U40" s="509"/>
      <c r="V40" s="511"/>
      <c r="W40" s="512"/>
      <c r="X40" s="513"/>
    </row>
    <row r="41" spans="1:24" ht="15.75" thickBot="1">
      <c r="A41" s="514" t="s">
        <v>599</v>
      </c>
      <c r="B41" s="480" t="s">
        <v>561</v>
      </c>
      <c r="C41" s="481">
        <v>13520</v>
      </c>
      <c r="D41" s="481">
        <v>15075</v>
      </c>
      <c r="E41" s="482" t="s">
        <v>530</v>
      </c>
      <c r="F41" s="481">
        <v>41762</v>
      </c>
      <c r="G41" s="481">
        <v>41762</v>
      </c>
      <c r="H41" s="481">
        <v>41646</v>
      </c>
      <c r="I41" s="481">
        <v>42221</v>
      </c>
      <c r="J41" s="485">
        <f>J39-J37</f>
        <v>41400</v>
      </c>
      <c r="K41" s="484">
        <f>K39-K37</f>
        <v>3549</v>
      </c>
      <c r="L41" s="486">
        <f aca="true" t="shared" si="4" ref="L41:V41">L39-L37</f>
        <v>3306</v>
      </c>
      <c r="M41" s="486">
        <f t="shared" si="4"/>
        <v>3429</v>
      </c>
      <c r="N41" s="486">
        <f t="shared" si="4"/>
        <v>3318</v>
      </c>
      <c r="O41" s="486">
        <f t="shared" si="4"/>
        <v>3439</v>
      </c>
      <c r="P41" s="486">
        <f t="shared" si="4"/>
        <v>3388</v>
      </c>
      <c r="Q41" s="486">
        <f t="shared" si="4"/>
        <v>3483</v>
      </c>
      <c r="R41" s="486">
        <f t="shared" si="4"/>
        <v>3544</v>
      </c>
      <c r="S41" s="486">
        <f t="shared" si="4"/>
        <v>3780</v>
      </c>
      <c r="T41" s="486">
        <f t="shared" si="4"/>
        <v>3925</v>
      </c>
      <c r="U41" s="486">
        <f t="shared" si="4"/>
        <v>0</v>
      </c>
      <c r="V41" s="486">
        <f t="shared" si="4"/>
        <v>0</v>
      </c>
      <c r="W41" s="481">
        <f t="shared" si="0"/>
        <v>35161</v>
      </c>
      <c r="X41" s="488">
        <f t="shared" si="1"/>
        <v>84.92995169082126</v>
      </c>
    </row>
    <row r="42" spans="1:24" ht="15.75" thickBot="1">
      <c r="A42" s="479" t="s">
        <v>600</v>
      </c>
      <c r="B42" s="480" t="s">
        <v>601</v>
      </c>
      <c r="C42" s="481">
        <v>93</v>
      </c>
      <c r="D42" s="481">
        <v>-465</v>
      </c>
      <c r="E42" s="482" t="s">
        <v>530</v>
      </c>
      <c r="F42" s="481">
        <v>24</v>
      </c>
      <c r="G42" s="481">
        <v>24</v>
      </c>
      <c r="H42" s="481">
        <v>168</v>
      </c>
      <c r="I42" s="481">
        <v>-5925</v>
      </c>
      <c r="J42" s="485">
        <f>J39-J33</f>
        <v>5977</v>
      </c>
      <c r="K42" s="484">
        <f>K39-K33</f>
        <v>21</v>
      </c>
      <c r="L42" s="486">
        <f aca="true" t="shared" si="5" ref="L42:V42">L39-L33</f>
        <v>140</v>
      </c>
      <c r="M42" s="486">
        <f t="shared" si="5"/>
        <v>1810</v>
      </c>
      <c r="N42" s="486">
        <f t="shared" si="5"/>
        <v>4780</v>
      </c>
      <c r="O42" s="486">
        <f t="shared" si="5"/>
        <v>-1645</v>
      </c>
      <c r="P42" s="486">
        <f t="shared" si="5"/>
        <v>2649</v>
      </c>
      <c r="Q42" s="486">
        <f t="shared" si="5"/>
        <v>1175</v>
      </c>
      <c r="R42" s="486">
        <f t="shared" si="5"/>
        <v>-1699</v>
      </c>
      <c r="S42" s="486">
        <f t="shared" si="5"/>
        <v>-1359</v>
      </c>
      <c r="T42" s="486">
        <f t="shared" si="5"/>
        <v>3461</v>
      </c>
      <c r="U42" s="486">
        <f t="shared" si="5"/>
        <v>0</v>
      </c>
      <c r="V42" s="515">
        <f t="shared" si="5"/>
        <v>0</v>
      </c>
      <c r="W42" s="481">
        <f t="shared" si="0"/>
        <v>9333</v>
      </c>
      <c r="X42" s="488">
        <f t="shared" si="1"/>
        <v>156.14856951647985</v>
      </c>
    </row>
    <row r="43" spans="1:24" ht="15.75" thickBot="1">
      <c r="A43" s="516" t="s">
        <v>602</v>
      </c>
      <c r="B43" s="517" t="s">
        <v>561</v>
      </c>
      <c r="C43" s="518">
        <v>-12379</v>
      </c>
      <c r="D43" s="518">
        <v>-14193</v>
      </c>
      <c r="E43" s="519" t="s">
        <v>530</v>
      </c>
      <c r="F43" s="518">
        <v>-24176</v>
      </c>
      <c r="G43" s="518">
        <v>-24176</v>
      </c>
      <c r="H43" s="518">
        <v>-26053</v>
      </c>
      <c r="I43" s="518">
        <v>-18875</v>
      </c>
      <c r="J43" s="485">
        <f>J41-J33</f>
        <v>-17510</v>
      </c>
      <c r="K43" s="484">
        <f>K41-K33</f>
        <v>-1979</v>
      </c>
      <c r="L43" s="486">
        <f aca="true" t="shared" si="6" ref="L43:V43">L41-L33</f>
        <v>-1860</v>
      </c>
      <c r="M43" s="486">
        <f t="shared" si="6"/>
        <v>-2390</v>
      </c>
      <c r="N43" s="486">
        <f t="shared" si="6"/>
        <v>-1335</v>
      </c>
      <c r="O43" s="486">
        <f t="shared" si="6"/>
        <v>-1645</v>
      </c>
      <c r="P43" s="486">
        <f t="shared" si="6"/>
        <v>-1937</v>
      </c>
      <c r="Q43" s="486">
        <f t="shared" si="6"/>
        <v>-1615</v>
      </c>
      <c r="R43" s="486">
        <f t="shared" si="6"/>
        <v>-1699</v>
      </c>
      <c r="S43" s="486">
        <f t="shared" si="6"/>
        <v>-1359</v>
      </c>
      <c r="T43" s="486">
        <f t="shared" si="6"/>
        <v>-1125</v>
      </c>
      <c r="U43" s="486">
        <f t="shared" si="6"/>
        <v>0</v>
      </c>
      <c r="V43" s="486">
        <f t="shared" si="6"/>
        <v>0</v>
      </c>
      <c r="W43" s="481">
        <f t="shared" si="0"/>
        <v>-16944</v>
      </c>
      <c r="X43" s="488">
        <f t="shared" si="1"/>
        <v>96.76756139348943</v>
      </c>
    </row>
  </sheetData>
  <sheetProtection/>
  <mergeCells count="2">
    <mergeCell ref="A1:Q1"/>
    <mergeCell ref="R2:X2"/>
  </mergeCells>
  <printOptions/>
  <pageMargins left="0.5118110236220472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Q15" sqref="P15:Q15"/>
    </sheetView>
  </sheetViews>
  <sheetFormatPr defaultColWidth="9.140625" defaultRowHeight="12.75"/>
  <cols>
    <col min="1" max="1" width="37.7109375" style="0" customWidth="1"/>
    <col min="2" max="2" width="9.57421875" style="0" customWidth="1"/>
    <col min="3" max="6" width="9.57421875" style="0" hidden="1" customWidth="1"/>
    <col min="7" max="8" width="9.57421875" style="0" customWidth="1"/>
    <col min="9" max="9" width="12.57421875" style="0" customWidth="1"/>
    <col min="20" max="21" width="0" style="0" hidden="1" customWidth="1"/>
    <col min="23" max="23" width="11.140625" style="0" customWidth="1"/>
  </cols>
  <sheetData>
    <row r="1" spans="1:10" ht="18.75">
      <c r="A1" s="650" t="s">
        <v>603</v>
      </c>
      <c r="J1" s="521"/>
    </row>
    <row r="2" spans="1:10" ht="18">
      <c r="A2" s="522" t="s">
        <v>604</v>
      </c>
      <c r="J2" s="521"/>
    </row>
    <row r="3" spans="1:10" ht="12.75">
      <c r="A3" s="521"/>
      <c r="J3" s="521"/>
    </row>
    <row r="4" ht="13.5" thickBot="1">
      <c r="J4" s="521"/>
    </row>
    <row r="5" spans="1:10" ht="16.5" thickBot="1">
      <c r="A5" s="523" t="s">
        <v>501</v>
      </c>
      <c r="B5" s="524" t="s">
        <v>605</v>
      </c>
      <c r="C5" s="525"/>
      <c r="D5" s="525"/>
      <c r="E5" s="525"/>
      <c r="F5" s="525"/>
      <c r="G5" s="525"/>
      <c r="H5" s="525"/>
      <c r="I5" s="525"/>
      <c r="J5" s="526"/>
    </row>
    <row r="6" spans="1:10" ht="13.5" thickBot="1">
      <c r="A6" s="521" t="s">
        <v>503</v>
      </c>
      <c r="J6" s="521"/>
    </row>
    <row r="7" spans="1:23" ht="15">
      <c r="A7" s="527"/>
      <c r="B7" s="528"/>
      <c r="C7" s="528"/>
      <c r="D7" s="528"/>
      <c r="E7" s="528"/>
      <c r="F7" s="528"/>
      <c r="G7" s="527"/>
      <c r="H7" s="529"/>
      <c r="I7" s="530" t="s">
        <v>29</v>
      </c>
      <c r="J7" s="531"/>
      <c r="K7" s="532"/>
      <c r="L7" s="532"/>
      <c r="M7" s="532"/>
      <c r="N7" s="532"/>
      <c r="O7" s="533" t="s">
        <v>504</v>
      </c>
      <c r="P7" s="532"/>
      <c r="Q7" s="532"/>
      <c r="R7" s="532"/>
      <c r="S7" s="532"/>
      <c r="T7" s="532"/>
      <c r="U7" s="532"/>
      <c r="V7" s="530" t="s">
        <v>505</v>
      </c>
      <c r="W7" s="534" t="s">
        <v>506</v>
      </c>
    </row>
    <row r="8" spans="1:23" ht="13.5" thickBot="1">
      <c r="A8" s="535" t="s">
        <v>27</v>
      </c>
      <c r="B8" s="536" t="s">
        <v>507</v>
      </c>
      <c r="C8" s="536">
        <v>2007</v>
      </c>
      <c r="D8" s="537">
        <v>2008</v>
      </c>
      <c r="E8" s="538">
        <v>2009</v>
      </c>
      <c r="F8" s="539">
        <v>2010</v>
      </c>
      <c r="G8" s="539">
        <v>2011</v>
      </c>
      <c r="H8" s="539">
        <v>2012</v>
      </c>
      <c r="I8" s="540">
        <v>2013</v>
      </c>
      <c r="J8" s="541" t="s">
        <v>515</v>
      </c>
      <c r="K8" s="542" t="s">
        <v>516</v>
      </c>
      <c r="L8" s="542" t="s">
        <v>517</v>
      </c>
      <c r="M8" s="542" t="s">
        <v>518</v>
      </c>
      <c r="N8" s="542" t="s">
        <v>519</v>
      </c>
      <c r="O8" s="542" t="s">
        <v>520</v>
      </c>
      <c r="P8" s="542" t="s">
        <v>521</v>
      </c>
      <c r="Q8" s="542" t="s">
        <v>522</v>
      </c>
      <c r="R8" s="542" t="s">
        <v>523</v>
      </c>
      <c r="S8" s="542" t="s">
        <v>524</v>
      </c>
      <c r="T8" s="542" t="s">
        <v>525</v>
      </c>
      <c r="U8" s="541" t="s">
        <v>526</v>
      </c>
      <c r="V8" s="540" t="s">
        <v>527</v>
      </c>
      <c r="W8" s="543" t="s">
        <v>528</v>
      </c>
    </row>
    <row r="9" spans="1:24" ht="12.75">
      <c r="A9" s="544" t="s">
        <v>529</v>
      </c>
      <c r="B9" s="545"/>
      <c r="C9" s="546">
        <v>24</v>
      </c>
      <c r="D9" s="546">
        <v>21</v>
      </c>
      <c r="E9" s="547">
        <v>21</v>
      </c>
      <c r="F9" s="548">
        <v>22</v>
      </c>
      <c r="G9" s="548">
        <v>22</v>
      </c>
      <c r="H9" s="548">
        <v>21</v>
      </c>
      <c r="I9" s="549"/>
      <c r="J9" s="550">
        <v>21</v>
      </c>
      <c r="K9" s="551">
        <v>21</v>
      </c>
      <c r="L9" s="551">
        <v>21</v>
      </c>
      <c r="M9" s="551">
        <v>20</v>
      </c>
      <c r="N9" s="552">
        <v>20</v>
      </c>
      <c r="O9" s="552">
        <v>21</v>
      </c>
      <c r="P9" s="552">
        <v>21</v>
      </c>
      <c r="Q9" s="552">
        <v>21</v>
      </c>
      <c r="R9" s="552">
        <v>21</v>
      </c>
      <c r="S9" s="552">
        <v>21</v>
      </c>
      <c r="T9" s="552"/>
      <c r="U9" s="553"/>
      <c r="V9" s="554" t="s">
        <v>530</v>
      </c>
      <c r="W9" s="555" t="s">
        <v>530</v>
      </c>
      <c r="X9" s="556"/>
    </row>
    <row r="10" spans="1:24" ht="13.5" thickBot="1">
      <c r="A10" s="557" t="s">
        <v>531</v>
      </c>
      <c r="B10" s="558"/>
      <c r="C10" s="559">
        <v>20</v>
      </c>
      <c r="D10" s="559">
        <v>20.5</v>
      </c>
      <c r="E10" s="560">
        <v>20</v>
      </c>
      <c r="F10" s="561">
        <v>22</v>
      </c>
      <c r="G10" s="561">
        <v>20</v>
      </c>
      <c r="H10" s="561">
        <v>21</v>
      </c>
      <c r="I10" s="562"/>
      <c r="J10" s="560">
        <v>21</v>
      </c>
      <c r="K10" s="563">
        <v>21</v>
      </c>
      <c r="L10" s="564">
        <v>21</v>
      </c>
      <c r="M10" s="564">
        <v>20</v>
      </c>
      <c r="N10" s="563">
        <v>20</v>
      </c>
      <c r="O10" s="563">
        <v>21</v>
      </c>
      <c r="P10" s="563">
        <v>21</v>
      </c>
      <c r="Q10" s="563">
        <v>21</v>
      </c>
      <c r="R10" s="563">
        <v>21</v>
      </c>
      <c r="S10" s="563">
        <v>21</v>
      </c>
      <c r="T10" s="563"/>
      <c r="U10" s="560"/>
      <c r="V10" s="565"/>
      <c r="W10" s="566" t="s">
        <v>530</v>
      </c>
      <c r="X10" s="556"/>
    </row>
    <row r="11" spans="1:24" ht="12.75">
      <c r="A11" s="567" t="s">
        <v>606</v>
      </c>
      <c r="B11" s="568">
        <v>26</v>
      </c>
      <c r="C11" s="569">
        <v>12687</v>
      </c>
      <c r="D11" s="569">
        <v>12682</v>
      </c>
      <c r="E11" s="570">
        <v>12645</v>
      </c>
      <c r="F11" s="571">
        <v>12743</v>
      </c>
      <c r="G11" s="571">
        <v>12709</v>
      </c>
      <c r="H11" s="571">
        <v>13220</v>
      </c>
      <c r="I11" s="572"/>
      <c r="J11" s="570">
        <v>13236</v>
      </c>
      <c r="K11" s="573">
        <v>13182</v>
      </c>
      <c r="L11" s="574">
        <v>13182</v>
      </c>
      <c r="M11" s="574">
        <v>13182</v>
      </c>
      <c r="N11" s="573">
        <v>13182</v>
      </c>
      <c r="O11" s="573">
        <v>13182</v>
      </c>
      <c r="P11" s="573">
        <v>13209</v>
      </c>
      <c r="Q11" s="573">
        <v>13297</v>
      </c>
      <c r="R11" s="573">
        <v>13337</v>
      </c>
      <c r="S11" s="573">
        <v>13371</v>
      </c>
      <c r="T11" s="573"/>
      <c r="U11" s="570"/>
      <c r="V11" s="572" t="s">
        <v>530</v>
      </c>
      <c r="W11" s="575" t="s">
        <v>530</v>
      </c>
      <c r="X11" s="576"/>
    </row>
    <row r="12" spans="1:24" ht="12.75">
      <c r="A12" s="567" t="s">
        <v>607</v>
      </c>
      <c r="B12" s="568">
        <v>33</v>
      </c>
      <c r="C12" s="569">
        <v>-7657</v>
      </c>
      <c r="D12" s="569">
        <v>-8337</v>
      </c>
      <c r="E12" s="570">
        <v>-9084</v>
      </c>
      <c r="F12" s="571">
        <v>-9822</v>
      </c>
      <c r="G12" s="577">
        <v>10473</v>
      </c>
      <c r="H12" s="577">
        <v>11118</v>
      </c>
      <c r="I12" s="572"/>
      <c r="J12" s="578">
        <v>-11286</v>
      </c>
      <c r="K12" s="579">
        <v>-11289</v>
      </c>
      <c r="L12" s="580">
        <v>-11345</v>
      </c>
      <c r="M12" s="580">
        <v>-11401</v>
      </c>
      <c r="N12" s="573">
        <v>-11457</v>
      </c>
      <c r="O12" s="573">
        <v>-11512</v>
      </c>
      <c r="P12" s="573">
        <v>-11595</v>
      </c>
      <c r="Q12" s="573">
        <v>-11691</v>
      </c>
      <c r="R12" s="573">
        <v>-11793</v>
      </c>
      <c r="S12" s="573">
        <v>-11888</v>
      </c>
      <c r="T12" s="573"/>
      <c r="U12" s="570"/>
      <c r="V12" s="572" t="s">
        <v>530</v>
      </c>
      <c r="W12" s="575" t="s">
        <v>530</v>
      </c>
      <c r="X12" s="576"/>
    </row>
    <row r="13" spans="1:23" ht="12.75">
      <c r="A13" s="567" t="s">
        <v>608</v>
      </c>
      <c r="B13" s="568">
        <v>41</v>
      </c>
      <c r="C13" s="569"/>
      <c r="D13" s="569"/>
      <c r="E13" s="578"/>
      <c r="F13" s="581"/>
      <c r="G13" s="581"/>
      <c r="H13" s="581"/>
      <c r="I13" s="572"/>
      <c r="J13" s="578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8"/>
      <c r="V13" s="572" t="s">
        <v>530</v>
      </c>
      <c r="W13" s="575" t="s">
        <v>530</v>
      </c>
    </row>
    <row r="14" spans="1:23" ht="12.75">
      <c r="A14" s="567" t="s">
        <v>538</v>
      </c>
      <c r="B14" s="568">
        <v>51</v>
      </c>
      <c r="C14" s="569"/>
      <c r="D14" s="569"/>
      <c r="E14" s="578"/>
      <c r="F14" s="581"/>
      <c r="G14" s="581"/>
      <c r="H14" s="581"/>
      <c r="I14" s="572"/>
      <c r="J14" s="578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8"/>
      <c r="V14" s="572" t="s">
        <v>530</v>
      </c>
      <c r="W14" s="575" t="s">
        <v>530</v>
      </c>
    </row>
    <row r="15" spans="1:23" ht="12.75">
      <c r="A15" s="567" t="s">
        <v>541</v>
      </c>
      <c r="B15" s="568">
        <v>75</v>
      </c>
      <c r="C15" s="569">
        <v>988</v>
      </c>
      <c r="D15" s="569">
        <v>96</v>
      </c>
      <c r="E15" s="570">
        <v>1305</v>
      </c>
      <c r="F15" s="571">
        <v>2011</v>
      </c>
      <c r="G15" s="571">
        <v>3219</v>
      </c>
      <c r="H15" s="571">
        <v>3903</v>
      </c>
      <c r="I15" s="572"/>
      <c r="J15" s="578">
        <v>4630</v>
      </c>
      <c r="K15" s="579">
        <v>2960</v>
      </c>
      <c r="L15" s="580">
        <v>3166</v>
      </c>
      <c r="M15" s="580">
        <v>3034</v>
      </c>
      <c r="N15" s="573">
        <v>3534</v>
      </c>
      <c r="O15" s="573">
        <v>3521</v>
      </c>
      <c r="P15" s="573">
        <v>3020</v>
      </c>
      <c r="Q15" s="573">
        <v>3498</v>
      </c>
      <c r="R15" s="573">
        <v>3700</v>
      </c>
      <c r="S15" s="573">
        <v>4200</v>
      </c>
      <c r="T15" s="573"/>
      <c r="U15" s="570"/>
      <c r="V15" s="572" t="s">
        <v>530</v>
      </c>
      <c r="W15" s="575" t="s">
        <v>530</v>
      </c>
    </row>
    <row r="16" spans="1:23" ht="13.5" thickBot="1">
      <c r="A16" s="544" t="s">
        <v>543</v>
      </c>
      <c r="B16" s="545">
        <v>89</v>
      </c>
      <c r="C16" s="582">
        <v>1109</v>
      </c>
      <c r="D16" s="582">
        <v>1611</v>
      </c>
      <c r="E16" s="583">
        <v>651</v>
      </c>
      <c r="F16" s="584">
        <v>583</v>
      </c>
      <c r="G16" s="584">
        <v>2757</v>
      </c>
      <c r="H16" s="584">
        <v>1116</v>
      </c>
      <c r="I16" s="554"/>
      <c r="J16" s="576">
        <v>954</v>
      </c>
      <c r="K16" s="585">
        <v>2109</v>
      </c>
      <c r="L16" s="586">
        <v>2515</v>
      </c>
      <c r="M16" s="586">
        <v>1710</v>
      </c>
      <c r="N16" s="585">
        <v>2135</v>
      </c>
      <c r="O16" s="585">
        <v>1359</v>
      </c>
      <c r="P16" s="585">
        <v>3076</v>
      </c>
      <c r="Q16" s="585">
        <v>3129</v>
      </c>
      <c r="R16" s="585">
        <v>2961</v>
      </c>
      <c r="S16" s="585">
        <v>2985</v>
      </c>
      <c r="T16" s="585"/>
      <c r="U16" s="587"/>
      <c r="V16" s="554" t="s">
        <v>530</v>
      </c>
      <c r="W16" s="555" t="s">
        <v>530</v>
      </c>
    </row>
    <row r="17" spans="1:23" ht="13.5" thickBot="1">
      <c r="A17" s="588" t="s">
        <v>609</v>
      </c>
      <c r="B17" s="589">
        <v>125</v>
      </c>
      <c r="C17" s="590">
        <v>7241</v>
      </c>
      <c r="D17" s="590">
        <v>7150</v>
      </c>
      <c r="E17" s="591">
        <v>5713</v>
      </c>
      <c r="F17" s="592">
        <v>5417</v>
      </c>
      <c r="G17" s="592"/>
      <c r="H17" s="592"/>
      <c r="I17" s="593"/>
      <c r="J17" s="591"/>
      <c r="K17" s="594"/>
      <c r="L17" s="595"/>
      <c r="M17" s="595"/>
      <c r="N17" s="594"/>
      <c r="O17" s="594"/>
      <c r="P17" s="594"/>
      <c r="Q17" s="594"/>
      <c r="R17" s="594"/>
      <c r="S17" s="594"/>
      <c r="T17" s="594"/>
      <c r="U17" s="591"/>
      <c r="V17" s="593" t="s">
        <v>530</v>
      </c>
      <c r="W17" s="596" t="s">
        <v>530</v>
      </c>
    </row>
    <row r="18" spans="1:23" ht="12.75">
      <c r="A18" s="544" t="s">
        <v>610</v>
      </c>
      <c r="B18" s="545">
        <v>131</v>
      </c>
      <c r="C18" s="582">
        <v>4814</v>
      </c>
      <c r="D18" s="582">
        <v>4381</v>
      </c>
      <c r="E18" s="583">
        <v>3601</v>
      </c>
      <c r="F18" s="584">
        <v>2863</v>
      </c>
      <c r="G18" s="584">
        <v>2178</v>
      </c>
      <c r="H18" s="584">
        <v>2044</v>
      </c>
      <c r="I18" s="554"/>
      <c r="J18" s="576">
        <v>1989</v>
      </c>
      <c r="K18" s="585">
        <v>1933</v>
      </c>
      <c r="L18" s="586">
        <v>1877</v>
      </c>
      <c r="M18" s="586">
        <v>1821</v>
      </c>
      <c r="N18" s="585">
        <v>1766</v>
      </c>
      <c r="O18" s="585">
        <v>1710</v>
      </c>
      <c r="P18" s="585">
        <v>1766</v>
      </c>
      <c r="Q18" s="585">
        <v>1646</v>
      </c>
      <c r="R18" s="585">
        <v>1584</v>
      </c>
      <c r="S18" s="585">
        <v>1523</v>
      </c>
      <c r="T18" s="585"/>
      <c r="U18" s="587"/>
      <c r="V18" s="554" t="s">
        <v>530</v>
      </c>
      <c r="W18" s="555" t="s">
        <v>530</v>
      </c>
    </row>
    <row r="19" spans="1:23" ht="12.75">
      <c r="A19" s="567" t="s">
        <v>611</v>
      </c>
      <c r="B19" s="568">
        <v>138</v>
      </c>
      <c r="C19" s="569">
        <v>1215</v>
      </c>
      <c r="D19" s="569">
        <v>1761</v>
      </c>
      <c r="E19" s="570">
        <v>861</v>
      </c>
      <c r="F19" s="571">
        <v>1067</v>
      </c>
      <c r="G19" s="571">
        <v>1636</v>
      </c>
      <c r="H19" s="571">
        <v>1382</v>
      </c>
      <c r="I19" s="572"/>
      <c r="J19" s="570">
        <v>1438</v>
      </c>
      <c r="K19" s="573">
        <v>1494</v>
      </c>
      <c r="L19" s="574">
        <v>1549</v>
      </c>
      <c r="M19" s="574">
        <v>1405</v>
      </c>
      <c r="N19" s="573">
        <v>1462</v>
      </c>
      <c r="O19" s="573">
        <v>1518</v>
      </c>
      <c r="P19" s="573">
        <v>1462</v>
      </c>
      <c r="Q19" s="573">
        <v>1586</v>
      </c>
      <c r="R19" s="573">
        <v>1648</v>
      </c>
      <c r="S19" s="573">
        <v>1710</v>
      </c>
      <c r="T19" s="573"/>
      <c r="U19" s="570"/>
      <c r="V19" s="572" t="s">
        <v>530</v>
      </c>
      <c r="W19" s="575" t="s">
        <v>530</v>
      </c>
    </row>
    <row r="20" spans="1:23" ht="12.75">
      <c r="A20" s="567" t="s">
        <v>552</v>
      </c>
      <c r="B20" s="568">
        <v>166</v>
      </c>
      <c r="C20" s="569"/>
      <c r="D20" s="569"/>
      <c r="E20" s="570"/>
      <c r="F20" s="571"/>
      <c r="G20" s="571"/>
      <c r="H20" s="571"/>
      <c r="I20" s="572"/>
      <c r="J20" s="578"/>
      <c r="K20" s="579"/>
      <c r="L20" s="580"/>
      <c r="M20" s="580"/>
      <c r="N20" s="573"/>
      <c r="O20" s="573"/>
      <c r="P20" s="573"/>
      <c r="Q20" s="573"/>
      <c r="R20" s="573"/>
      <c r="S20" s="573"/>
      <c r="T20" s="573"/>
      <c r="U20" s="570"/>
      <c r="V20" s="572" t="s">
        <v>530</v>
      </c>
      <c r="W20" s="575" t="s">
        <v>530</v>
      </c>
    </row>
    <row r="21" spans="1:23" ht="12.75">
      <c r="A21" s="567" t="s">
        <v>554</v>
      </c>
      <c r="B21" s="568">
        <v>189</v>
      </c>
      <c r="C21" s="569">
        <v>641</v>
      </c>
      <c r="D21" s="569">
        <v>924</v>
      </c>
      <c r="E21" s="570">
        <v>1219</v>
      </c>
      <c r="F21" s="571">
        <v>1487</v>
      </c>
      <c r="G21" s="571">
        <v>3338</v>
      </c>
      <c r="H21" s="571">
        <v>3576</v>
      </c>
      <c r="I21" s="572"/>
      <c r="J21" s="578">
        <v>4106</v>
      </c>
      <c r="K21" s="579">
        <v>9100</v>
      </c>
      <c r="L21" s="580">
        <v>2389</v>
      </c>
      <c r="M21" s="580">
        <v>1898</v>
      </c>
      <c r="N21" s="573">
        <v>2247</v>
      </c>
      <c r="O21" s="573">
        <v>2324</v>
      </c>
      <c r="P21" s="573">
        <v>1514</v>
      </c>
      <c r="Q21" s="573">
        <v>2435</v>
      </c>
      <c r="R21" s="573">
        <v>2151</v>
      </c>
      <c r="S21" s="573">
        <v>2874</v>
      </c>
      <c r="T21" s="573"/>
      <c r="U21" s="570"/>
      <c r="V21" s="572" t="s">
        <v>530</v>
      </c>
      <c r="W21" s="575" t="s">
        <v>530</v>
      </c>
    </row>
    <row r="22" spans="1:23" ht="13.5" thickBot="1">
      <c r="A22" s="567" t="s">
        <v>612</v>
      </c>
      <c r="B22" s="568">
        <v>196</v>
      </c>
      <c r="C22" s="569">
        <v>256</v>
      </c>
      <c r="D22" s="569">
        <v>0</v>
      </c>
      <c r="E22" s="570"/>
      <c r="F22" s="571"/>
      <c r="G22" s="571"/>
      <c r="H22" s="571"/>
      <c r="I22" s="572"/>
      <c r="J22" s="578"/>
      <c r="K22" s="579"/>
      <c r="L22" s="580"/>
      <c r="M22" s="580"/>
      <c r="N22" s="573"/>
      <c r="O22" s="573"/>
      <c r="P22" s="573"/>
      <c r="Q22" s="573"/>
      <c r="R22" s="573"/>
      <c r="S22" s="573"/>
      <c r="T22" s="573"/>
      <c r="U22" s="570"/>
      <c r="V22" s="572" t="s">
        <v>530</v>
      </c>
      <c r="W22" s="575" t="s">
        <v>530</v>
      </c>
    </row>
    <row r="23" spans="1:23" ht="15">
      <c r="A23" s="597" t="s">
        <v>558</v>
      </c>
      <c r="B23" s="598"/>
      <c r="C23" s="599">
        <v>8932</v>
      </c>
      <c r="D23" s="599">
        <v>7938</v>
      </c>
      <c r="E23" s="600">
        <v>8283</v>
      </c>
      <c r="F23" s="601">
        <v>15657</v>
      </c>
      <c r="G23" s="601">
        <v>13146</v>
      </c>
      <c r="H23" s="601">
        <v>11973</v>
      </c>
      <c r="I23" s="602">
        <v>13648</v>
      </c>
      <c r="J23" s="603">
        <v>992</v>
      </c>
      <c r="K23" s="604">
        <v>2201</v>
      </c>
      <c r="L23" s="604">
        <v>1500</v>
      </c>
      <c r="M23" s="604">
        <v>375</v>
      </c>
      <c r="N23" s="604">
        <v>750</v>
      </c>
      <c r="O23" s="604">
        <v>550</v>
      </c>
      <c r="P23" s="604">
        <v>2749</v>
      </c>
      <c r="Q23" s="604">
        <v>1146</v>
      </c>
      <c r="R23" s="604">
        <v>750</v>
      </c>
      <c r="S23" s="604">
        <v>1125</v>
      </c>
      <c r="T23" s="604"/>
      <c r="U23" s="603"/>
      <c r="V23" s="602">
        <f>SUM(J23:U23)</f>
        <v>12138</v>
      </c>
      <c r="W23" s="605">
        <f>+V23/I23*100</f>
        <v>88.93610785463072</v>
      </c>
    </row>
    <row r="24" spans="1:23" ht="15">
      <c r="A24" s="567" t="s">
        <v>560</v>
      </c>
      <c r="B24" s="568">
        <v>9</v>
      </c>
      <c r="C24" s="606">
        <v>0</v>
      </c>
      <c r="D24" s="606">
        <v>0</v>
      </c>
      <c r="E24" s="607">
        <v>0</v>
      </c>
      <c r="F24" s="606">
        <v>6150</v>
      </c>
      <c r="G24" s="606">
        <v>0</v>
      </c>
      <c r="H24" s="606">
        <v>0</v>
      </c>
      <c r="I24" s="608">
        <v>0</v>
      </c>
      <c r="J24" s="570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0"/>
      <c r="V24" s="608">
        <f>SUM(J24:U24)</f>
        <v>0</v>
      </c>
      <c r="W24" s="609" t="e">
        <f>+V24/I24*100</f>
        <v>#DIV/0!</v>
      </c>
    </row>
    <row r="25" spans="1:23" ht="15.75" thickBot="1">
      <c r="A25" s="610" t="s">
        <v>562</v>
      </c>
      <c r="B25" s="611">
        <v>19</v>
      </c>
      <c r="C25" s="612">
        <v>8932</v>
      </c>
      <c r="D25" s="612">
        <v>7938</v>
      </c>
      <c r="E25" s="613">
        <v>8583</v>
      </c>
      <c r="F25" s="614">
        <v>9507</v>
      </c>
      <c r="G25" s="614">
        <v>13146</v>
      </c>
      <c r="H25" s="614">
        <v>11973</v>
      </c>
      <c r="I25" s="615">
        <v>13648</v>
      </c>
      <c r="J25" s="616">
        <v>992</v>
      </c>
      <c r="K25" s="617">
        <v>2201</v>
      </c>
      <c r="L25" s="617">
        <v>1500</v>
      </c>
      <c r="M25" s="617">
        <v>375</v>
      </c>
      <c r="N25" s="617">
        <v>750</v>
      </c>
      <c r="O25" s="617">
        <v>550</v>
      </c>
      <c r="P25" s="617">
        <v>2749</v>
      </c>
      <c r="Q25" s="617">
        <v>1146</v>
      </c>
      <c r="R25" s="617">
        <v>750</v>
      </c>
      <c r="S25" s="617">
        <v>1125</v>
      </c>
      <c r="T25" s="617"/>
      <c r="U25" s="616"/>
      <c r="V25" s="615">
        <f>SUM(J25:U25)</f>
        <v>12138</v>
      </c>
      <c r="W25" s="618">
        <f>+V25/I25*100</f>
        <v>88.93610785463072</v>
      </c>
    </row>
    <row r="26" spans="1:23" ht="15">
      <c r="A26" s="567" t="s">
        <v>563</v>
      </c>
      <c r="B26" s="568">
        <v>1</v>
      </c>
      <c r="C26" s="619">
        <v>860</v>
      </c>
      <c r="D26" s="619">
        <v>1063</v>
      </c>
      <c r="E26" s="620">
        <v>644</v>
      </c>
      <c r="F26" s="621">
        <v>693</v>
      </c>
      <c r="G26" s="621">
        <v>1130</v>
      </c>
      <c r="H26" s="621">
        <v>824</v>
      </c>
      <c r="I26" s="622">
        <v>1150</v>
      </c>
      <c r="J26" s="570">
        <v>73</v>
      </c>
      <c r="K26" s="573">
        <v>56</v>
      </c>
      <c r="L26" s="573">
        <v>77</v>
      </c>
      <c r="M26" s="573">
        <v>42</v>
      </c>
      <c r="N26" s="573">
        <v>80</v>
      </c>
      <c r="O26" s="573">
        <v>148</v>
      </c>
      <c r="P26" s="573">
        <v>70</v>
      </c>
      <c r="Q26" s="573">
        <v>99</v>
      </c>
      <c r="R26" s="573">
        <v>77</v>
      </c>
      <c r="S26" s="573">
        <v>174</v>
      </c>
      <c r="T26" s="573"/>
      <c r="U26" s="570"/>
      <c r="V26" s="608">
        <f aca="true" t="shared" si="0" ref="V26:V36">SUM(J26:U26)</f>
        <v>896</v>
      </c>
      <c r="W26" s="609">
        <f aca="true" t="shared" si="1" ref="W26:W36">+V26/I26*100</f>
        <v>77.91304347826087</v>
      </c>
    </row>
    <row r="27" spans="1:23" ht="15">
      <c r="A27" s="567" t="s">
        <v>565</v>
      </c>
      <c r="B27" s="568">
        <v>2</v>
      </c>
      <c r="C27" s="606">
        <v>2600</v>
      </c>
      <c r="D27" s="606">
        <v>2659</v>
      </c>
      <c r="E27" s="607">
        <v>2923</v>
      </c>
      <c r="F27" s="606">
        <v>3376</v>
      </c>
      <c r="G27" s="606">
        <v>3127</v>
      </c>
      <c r="H27" s="606">
        <v>3808</v>
      </c>
      <c r="I27" s="608">
        <v>4060</v>
      </c>
      <c r="J27" s="570">
        <v>555</v>
      </c>
      <c r="K27" s="573">
        <v>269</v>
      </c>
      <c r="L27" s="573">
        <v>554</v>
      </c>
      <c r="M27" s="573">
        <v>222</v>
      </c>
      <c r="N27" s="573">
        <v>166</v>
      </c>
      <c r="O27" s="573">
        <v>256</v>
      </c>
      <c r="P27" s="573">
        <v>201</v>
      </c>
      <c r="Q27" s="573">
        <v>274</v>
      </c>
      <c r="R27" s="573">
        <v>231</v>
      </c>
      <c r="S27" s="573">
        <v>424</v>
      </c>
      <c r="T27" s="573"/>
      <c r="U27" s="570"/>
      <c r="V27" s="608">
        <f t="shared" si="0"/>
        <v>3152</v>
      </c>
      <c r="W27" s="609">
        <f t="shared" si="1"/>
        <v>77.63546798029557</v>
      </c>
    </row>
    <row r="28" spans="1:23" ht="15">
      <c r="A28" s="567" t="s">
        <v>567</v>
      </c>
      <c r="B28" s="568">
        <v>4</v>
      </c>
      <c r="C28" s="606"/>
      <c r="D28" s="606">
        <v>0</v>
      </c>
      <c r="E28" s="607">
        <v>0</v>
      </c>
      <c r="F28" s="606">
        <v>0</v>
      </c>
      <c r="G28" s="606">
        <v>0</v>
      </c>
      <c r="H28" s="606">
        <v>0</v>
      </c>
      <c r="I28" s="608"/>
      <c r="J28" s="570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0"/>
      <c r="V28" s="608">
        <f t="shared" si="0"/>
        <v>0</v>
      </c>
      <c r="W28" s="609" t="e">
        <f t="shared" si="1"/>
        <v>#DIV/0!</v>
      </c>
    </row>
    <row r="29" spans="1:23" ht="15">
      <c r="A29" s="567" t="s">
        <v>613</v>
      </c>
      <c r="B29" s="568"/>
      <c r="C29" s="606"/>
      <c r="D29" s="606"/>
      <c r="E29" s="607">
        <v>0</v>
      </c>
      <c r="F29" s="606">
        <v>0</v>
      </c>
      <c r="G29" s="606">
        <v>0</v>
      </c>
      <c r="H29" s="606">
        <v>0</v>
      </c>
      <c r="I29" s="608">
        <v>0</v>
      </c>
      <c r="J29" s="570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0"/>
      <c r="V29" s="608">
        <v>0</v>
      </c>
      <c r="W29" s="609"/>
    </row>
    <row r="30" spans="1:23" ht="15">
      <c r="A30" s="567" t="s">
        <v>569</v>
      </c>
      <c r="B30" s="568">
        <v>5</v>
      </c>
      <c r="C30" s="606">
        <v>980</v>
      </c>
      <c r="D30" s="606">
        <v>1039</v>
      </c>
      <c r="E30" s="607">
        <v>1984</v>
      </c>
      <c r="F30" s="606">
        <v>930</v>
      </c>
      <c r="G30" s="606">
        <v>880</v>
      </c>
      <c r="H30" s="606">
        <v>1031</v>
      </c>
      <c r="I30" s="608">
        <v>1600</v>
      </c>
      <c r="J30" s="570">
        <v>3</v>
      </c>
      <c r="K30" s="573">
        <v>58</v>
      </c>
      <c r="L30" s="573">
        <v>2</v>
      </c>
      <c r="M30" s="573">
        <v>16</v>
      </c>
      <c r="N30" s="573">
        <v>84</v>
      </c>
      <c r="O30" s="573">
        <v>59</v>
      </c>
      <c r="P30" s="573">
        <v>604</v>
      </c>
      <c r="Q30" s="573">
        <v>9</v>
      </c>
      <c r="R30" s="573">
        <v>25</v>
      </c>
      <c r="S30" s="573">
        <v>84</v>
      </c>
      <c r="T30" s="573"/>
      <c r="U30" s="570"/>
      <c r="V30" s="608">
        <f t="shared" si="0"/>
        <v>944</v>
      </c>
      <c r="W30" s="609">
        <f t="shared" si="1"/>
        <v>59</v>
      </c>
    </row>
    <row r="31" spans="1:23" ht="15">
      <c r="A31" s="567" t="s">
        <v>571</v>
      </c>
      <c r="B31" s="568">
        <v>8</v>
      </c>
      <c r="C31" s="606">
        <v>940</v>
      </c>
      <c r="D31" s="606">
        <v>1932</v>
      </c>
      <c r="E31" s="607">
        <v>1720</v>
      </c>
      <c r="F31" s="606">
        <v>1701</v>
      </c>
      <c r="G31" s="606">
        <v>4552</v>
      </c>
      <c r="H31" s="606">
        <v>4229</v>
      </c>
      <c r="I31" s="608">
        <v>4172</v>
      </c>
      <c r="J31" s="570">
        <v>495</v>
      </c>
      <c r="K31" s="573">
        <v>395</v>
      </c>
      <c r="L31" s="573">
        <v>474</v>
      </c>
      <c r="M31" s="573">
        <v>295</v>
      </c>
      <c r="N31" s="573">
        <v>145</v>
      </c>
      <c r="O31" s="573">
        <v>153</v>
      </c>
      <c r="P31" s="573">
        <v>106</v>
      </c>
      <c r="Q31" s="573">
        <v>339</v>
      </c>
      <c r="R31" s="573">
        <v>420</v>
      </c>
      <c r="S31" s="573">
        <v>645</v>
      </c>
      <c r="T31" s="573"/>
      <c r="U31" s="570"/>
      <c r="V31" s="608">
        <f t="shared" si="0"/>
        <v>3467</v>
      </c>
      <c r="W31" s="609">
        <f t="shared" si="1"/>
        <v>83.10162991371045</v>
      </c>
    </row>
    <row r="32" spans="1:23" ht="15">
      <c r="A32" s="567" t="s">
        <v>573</v>
      </c>
      <c r="B32" s="623">
        <v>9</v>
      </c>
      <c r="C32" s="606">
        <v>5200</v>
      </c>
      <c r="D32" s="606">
        <v>5491</v>
      </c>
      <c r="E32" s="607">
        <v>5605</v>
      </c>
      <c r="F32" s="606">
        <v>5720</v>
      </c>
      <c r="G32" s="606">
        <v>5375</v>
      </c>
      <c r="H32" s="606">
        <v>5649</v>
      </c>
      <c r="I32" s="608">
        <v>6040</v>
      </c>
      <c r="J32" s="570">
        <v>471</v>
      </c>
      <c r="K32" s="573">
        <v>460</v>
      </c>
      <c r="L32" s="573">
        <v>586</v>
      </c>
      <c r="M32" s="573">
        <v>436</v>
      </c>
      <c r="N32" s="573">
        <v>472</v>
      </c>
      <c r="O32" s="573">
        <v>409</v>
      </c>
      <c r="P32" s="573">
        <v>470</v>
      </c>
      <c r="Q32" s="573">
        <v>623</v>
      </c>
      <c r="R32" s="573">
        <v>456</v>
      </c>
      <c r="S32" s="573">
        <v>471</v>
      </c>
      <c r="T32" s="573"/>
      <c r="U32" s="570"/>
      <c r="V32" s="608">
        <f>SUM(J32:U32)</f>
        <v>4854</v>
      </c>
      <c r="W32" s="609">
        <f>+V32/I32*100</f>
        <v>80.36423841059602</v>
      </c>
    </row>
    <row r="33" spans="1:23" ht="15">
      <c r="A33" s="567" t="s">
        <v>614</v>
      </c>
      <c r="B33" s="624" t="s">
        <v>615</v>
      </c>
      <c r="C33" s="606">
        <v>1820</v>
      </c>
      <c r="D33" s="606">
        <v>2083</v>
      </c>
      <c r="E33" s="607">
        <v>2055</v>
      </c>
      <c r="F33" s="606">
        <v>2198</v>
      </c>
      <c r="G33" s="606">
        <v>1947</v>
      </c>
      <c r="H33" s="606">
        <v>2115</v>
      </c>
      <c r="I33" s="608">
        <v>2387</v>
      </c>
      <c r="J33" s="570">
        <v>176</v>
      </c>
      <c r="K33" s="573">
        <v>169</v>
      </c>
      <c r="L33" s="573">
        <v>223</v>
      </c>
      <c r="M33" s="573">
        <v>161</v>
      </c>
      <c r="N33" s="573">
        <v>171</v>
      </c>
      <c r="O33" s="573">
        <v>158</v>
      </c>
      <c r="P33" s="573">
        <v>173</v>
      </c>
      <c r="Q33" s="573">
        <v>216</v>
      </c>
      <c r="R33" s="573">
        <v>176</v>
      </c>
      <c r="S33" s="573">
        <v>175</v>
      </c>
      <c r="T33" s="573"/>
      <c r="U33" s="570"/>
      <c r="V33" s="608">
        <f>SUM(J33:U33)</f>
        <v>1798</v>
      </c>
      <c r="W33" s="609">
        <f>+V33/I33*100</f>
        <v>75.32467532467533</v>
      </c>
    </row>
    <row r="34" spans="1:23" ht="15">
      <c r="A34" s="567" t="s">
        <v>578</v>
      </c>
      <c r="B34" s="568">
        <v>19</v>
      </c>
      <c r="C34" s="606"/>
      <c r="D34" s="606">
        <v>0</v>
      </c>
      <c r="E34" s="607">
        <v>0</v>
      </c>
      <c r="F34" s="606">
        <v>0</v>
      </c>
      <c r="G34" s="606">
        <v>0</v>
      </c>
      <c r="H34" s="606">
        <v>0</v>
      </c>
      <c r="I34" s="608"/>
      <c r="J34" s="570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0"/>
      <c r="V34" s="608">
        <f t="shared" si="0"/>
        <v>0</v>
      </c>
      <c r="W34" s="609" t="e">
        <f t="shared" si="1"/>
        <v>#DIV/0!</v>
      </c>
    </row>
    <row r="35" spans="1:23" ht="15">
      <c r="A35" s="567" t="s">
        <v>580</v>
      </c>
      <c r="B35" s="568">
        <v>25</v>
      </c>
      <c r="C35" s="606">
        <v>840</v>
      </c>
      <c r="D35" s="606">
        <v>795</v>
      </c>
      <c r="E35" s="607">
        <v>325</v>
      </c>
      <c r="F35" s="606">
        <v>186</v>
      </c>
      <c r="G35" s="606">
        <v>684</v>
      </c>
      <c r="H35" s="606">
        <v>661</v>
      </c>
      <c r="I35" s="608">
        <v>733</v>
      </c>
      <c r="J35" s="570">
        <v>56</v>
      </c>
      <c r="K35" s="573">
        <v>56</v>
      </c>
      <c r="L35" s="573">
        <v>56</v>
      </c>
      <c r="M35" s="573">
        <v>56</v>
      </c>
      <c r="N35" s="573">
        <v>55</v>
      </c>
      <c r="O35" s="573">
        <v>56</v>
      </c>
      <c r="P35" s="573">
        <v>56</v>
      </c>
      <c r="Q35" s="573">
        <v>96</v>
      </c>
      <c r="R35" s="573">
        <v>61</v>
      </c>
      <c r="S35" s="573">
        <v>61</v>
      </c>
      <c r="T35" s="573"/>
      <c r="U35" s="570"/>
      <c r="V35" s="608">
        <f t="shared" si="0"/>
        <v>609</v>
      </c>
      <c r="W35" s="609">
        <f t="shared" si="1"/>
        <v>83.08321964529331</v>
      </c>
    </row>
    <row r="36" spans="1:23" ht="15.75" thickBot="1">
      <c r="A36" s="544" t="s">
        <v>616</v>
      </c>
      <c r="B36" s="545"/>
      <c r="C36" s="625">
        <v>1732</v>
      </c>
      <c r="D36" s="625">
        <v>433</v>
      </c>
      <c r="E36" s="626">
        <v>673</v>
      </c>
      <c r="F36" s="627">
        <v>506</v>
      </c>
      <c r="G36" s="627">
        <v>351</v>
      </c>
      <c r="H36" s="627">
        <v>1447</v>
      </c>
      <c r="I36" s="628">
        <v>230</v>
      </c>
      <c r="J36" s="629">
        <v>22</v>
      </c>
      <c r="K36" s="585">
        <v>7</v>
      </c>
      <c r="L36" s="585">
        <v>23</v>
      </c>
      <c r="M36" s="585">
        <v>68</v>
      </c>
      <c r="N36" s="585">
        <v>-1</v>
      </c>
      <c r="O36" s="585"/>
      <c r="P36" s="585">
        <v>30</v>
      </c>
      <c r="Q36" s="585">
        <v>101</v>
      </c>
      <c r="R36" s="585">
        <v>7</v>
      </c>
      <c r="S36" s="585">
        <v>6</v>
      </c>
      <c r="T36" s="585"/>
      <c r="U36" s="587"/>
      <c r="V36" s="628">
        <f t="shared" si="0"/>
        <v>263</v>
      </c>
      <c r="W36" s="630">
        <f t="shared" si="1"/>
        <v>114.34782608695653</v>
      </c>
    </row>
    <row r="37" spans="1:23" ht="23.25" customHeight="1" thickBot="1">
      <c r="A37" s="631" t="s">
        <v>617</v>
      </c>
      <c r="B37" s="632">
        <v>31</v>
      </c>
      <c r="C37" s="633">
        <f>SUM(C26:C36)</f>
        <v>14972</v>
      </c>
      <c r="D37" s="633">
        <v>15495</v>
      </c>
      <c r="E37" s="634">
        <v>15929</v>
      </c>
      <c r="F37" s="635">
        <v>22086</v>
      </c>
      <c r="G37" s="635">
        <v>18046</v>
      </c>
      <c r="H37" s="635">
        <v>19764</v>
      </c>
      <c r="I37" s="635">
        <f>SUM(I26:I36)</f>
        <v>20372</v>
      </c>
      <c r="J37" s="634">
        <f>SUM(J26:J36)</f>
        <v>1851</v>
      </c>
      <c r="K37" s="636">
        <f>SUM(K26:K36)</f>
        <v>1470</v>
      </c>
      <c r="L37" s="637">
        <f>SUM(L26:L36)</f>
        <v>1995</v>
      </c>
      <c r="M37" s="637">
        <f>SUM(M26:M36)</f>
        <v>1296</v>
      </c>
      <c r="N37" s="636">
        <f aca="true" t="shared" si="2" ref="N37:U37">SUM(N26:N36)</f>
        <v>1172</v>
      </c>
      <c r="O37" s="636">
        <f t="shared" si="2"/>
        <v>1239</v>
      </c>
      <c r="P37" s="636">
        <f t="shared" si="2"/>
        <v>1710</v>
      </c>
      <c r="Q37" s="636">
        <f t="shared" si="2"/>
        <v>1757</v>
      </c>
      <c r="R37" s="636">
        <f t="shared" si="2"/>
        <v>1453</v>
      </c>
      <c r="S37" s="636">
        <f t="shared" si="2"/>
        <v>2040</v>
      </c>
      <c r="T37" s="636">
        <f t="shared" si="2"/>
        <v>0</v>
      </c>
      <c r="U37" s="636">
        <f t="shared" si="2"/>
        <v>0</v>
      </c>
      <c r="V37" s="635">
        <f>SUM(J37:U37)</f>
        <v>15983</v>
      </c>
      <c r="W37" s="638">
        <f>+V37/I37*100</f>
        <v>78.45572354211663</v>
      </c>
    </row>
    <row r="38" spans="1:23" ht="15">
      <c r="A38" s="567" t="s">
        <v>586</v>
      </c>
      <c r="B38" s="568">
        <v>32</v>
      </c>
      <c r="C38" s="619">
        <v>0</v>
      </c>
      <c r="D38" s="619">
        <v>0</v>
      </c>
      <c r="E38" s="620">
        <v>0</v>
      </c>
      <c r="F38" s="621">
        <v>0</v>
      </c>
      <c r="G38" s="621">
        <v>0</v>
      </c>
      <c r="H38" s="621">
        <v>0</v>
      </c>
      <c r="I38" s="622">
        <v>0</v>
      </c>
      <c r="J38" s="570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0"/>
      <c r="V38" s="608">
        <f aca="true" t="shared" si="3" ref="V38:V43">SUM(J38:U38)</f>
        <v>0</v>
      </c>
      <c r="W38" s="609" t="e">
        <f aca="true" t="shared" si="4" ref="W38:W43">+V38/I38*100</f>
        <v>#DIV/0!</v>
      </c>
    </row>
    <row r="39" spans="1:23" ht="15">
      <c r="A39" s="567" t="s">
        <v>588</v>
      </c>
      <c r="B39" s="568">
        <v>33</v>
      </c>
      <c r="C39" s="606">
        <v>6000</v>
      </c>
      <c r="D39" s="606">
        <v>6256</v>
      </c>
      <c r="E39" s="607">
        <v>6369</v>
      </c>
      <c r="F39" s="606">
        <v>6426</v>
      </c>
      <c r="G39" s="606">
        <v>5515</v>
      </c>
      <c r="H39" s="606">
        <v>6589</v>
      </c>
      <c r="I39" s="608">
        <v>6720</v>
      </c>
      <c r="J39" s="570">
        <v>838</v>
      </c>
      <c r="K39" s="573">
        <v>688</v>
      </c>
      <c r="L39" s="573">
        <v>772</v>
      </c>
      <c r="M39" s="573">
        <v>423</v>
      </c>
      <c r="N39" s="573">
        <v>194</v>
      </c>
      <c r="O39" s="573">
        <v>153</v>
      </c>
      <c r="P39" s="573">
        <v>102</v>
      </c>
      <c r="Q39" s="573">
        <v>918</v>
      </c>
      <c r="R39" s="573">
        <v>759</v>
      </c>
      <c r="S39" s="573">
        <v>1135</v>
      </c>
      <c r="T39" s="573"/>
      <c r="U39" s="570"/>
      <c r="V39" s="608">
        <f t="shared" si="3"/>
        <v>5982</v>
      </c>
      <c r="W39" s="609">
        <f t="shared" si="4"/>
        <v>89.01785714285714</v>
      </c>
    </row>
    <row r="40" spans="1:23" ht="15">
      <c r="A40" s="567" t="s">
        <v>590</v>
      </c>
      <c r="B40" s="568">
        <v>34</v>
      </c>
      <c r="C40" s="606">
        <v>0</v>
      </c>
      <c r="D40" s="606">
        <v>0</v>
      </c>
      <c r="E40" s="607">
        <v>0</v>
      </c>
      <c r="F40" s="606">
        <v>0</v>
      </c>
      <c r="G40" s="606">
        <v>0</v>
      </c>
      <c r="H40" s="606">
        <v>0</v>
      </c>
      <c r="I40" s="608">
        <v>0</v>
      </c>
      <c r="J40" s="570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0"/>
      <c r="V40" s="608">
        <f t="shared" si="3"/>
        <v>0</v>
      </c>
      <c r="W40" s="609" t="e">
        <f t="shared" si="4"/>
        <v>#DIV/0!</v>
      </c>
    </row>
    <row r="41" spans="1:23" ht="15">
      <c r="A41" s="567" t="s">
        <v>592</v>
      </c>
      <c r="B41" s="568">
        <v>57</v>
      </c>
      <c r="C41" s="606">
        <v>8932</v>
      </c>
      <c r="D41" s="606">
        <v>7938</v>
      </c>
      <c r="E41" s="607">
        <v>8283</v>
      </c>
      <c r="F41" s="606">
        <v>15657</v>
      </c>
      <c r="G41" s="606">
        <v>12640</v>
      </c>
      <c r="H41" s="606">
        <v>11973</v>
      </c>
      <c r="I41" s="608">
        <v>13648</v>
      </c>
      <c r="J41" s="570">
        <v>992</v>
      </c>
      <c r="K41" s="573">
        <v>2201</v>
      </c>
      <c r="L41" s="573">
        <v>1500</v>
      </c>
      <c r="M41" s="573">
        <v>375</v>
      </c>
      <c r="N41" s="573">
        <v>750</v>
      </c>
      <c r="O41" s="573">
        <v>550</v>
      </c>
      <c r="P41" s="573">
        <v>2749</v>
      </c>
      <c r="Q41" s="573">
        <v>1146</v>
      </c>
      <c r="R41" s="573">
        <v>750</v>
      </c>
      <c r="S41" s="573">
        <v>1125</v>
      </c>
      <c r="T41" s="573"/>
      <c r="U41" s="570"/>
      <c r="V41" s="608">
        <f t="shared" si="3"/>
        <v>12138</v>
      </c>
      <c r="W41" s="609">
        <f t="shared" si="4"/>
        <v>88.93610785463072</v>
      </c>
    </row>
    <row r="42" spans="1:23" ht="15.75" thickBot="1">
      <c r="A42" s="544" t="s">
        <v>595</v>
      </c>
      <c r="B42" s="545"/>
      <c r="C42" s="639">
        <v>40</v>
      </c>
      <c r="D42" s="639">
        <v>1313</v>
      </c>
      <c r="E42" s="640">
        <v>1270</v>
      </c>
      <c r="F42" s="641">
        <v>3</v>
      </c>
      <c r="G42" s="641">
        <v>0</v>
      </c>
      <c r="H42" s="641">
        <v>0</v>
      </c>
      <c r="I42" s="642">
        <v>2</v>
      </c>
      <c r="J42" s="629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7"/>
      <c r="V42" s="608">
        <f t="shared" si="3"/>
        <v>0</v>
      </c>
      <c r="W42" s="609">
        <f t="shared" si="4"/>
        <v>0</v>
      </c>
    </row>
    <row r="43" spans="1:23" ht="20.25" customHeight="1" thickBot="1">
      <c r="A43" s="631" t="s">
        <v>597</v>
      </c>
      <c r="B43" s="632">
        <v>58</v>
      </c>
      <c r="C43" s="633">
        <f>SUM(C38:C42)</f>
        <v>14972</v>
      </c>
      <c r="D43" s="633">
        <v>15507</v>
      </c>
      <c r="E43" s="634">
        <v>15922</v>
      </c>
      <c r="F43" s="635">
        <v>22086</v>
      </c>
      <c r="G43" s="635">
        <v>18155</v>
      </c>
      <c r="H43" s="635">
        <v>18562</v>
      </c>
      <c r="I43" s="635">
        <f>SUM(I38:I42)</f>
        <v>20370</v>
      </c>
      <c r="J43" s="634">
        <f>SUM(J38:J42)</f>
        <v>1830</v>
      </c>
      <c r="K43" s="636">
        <f>SUM(K38:K42)</f>
        <v>2889</v>
      </c>
      <c r="L43" s="636">
        <f>SUM(L38:L42)</f>
        <v>2272</v>
      </c>
      <c r="M43" s="637">
        <f>SUM(M38:M42)</f>
        <v>798</v>
      </c>
      <c r="N43" s="636">
        <f aca="true" t="shared" si="5" ref="N43:U43">SUM(N38:N42)</f>
        <v>944</v>
      </c>
      <c r="O43" s="636">
        <f t="shared" si="5"/>
        <v>703</v>
      </c>
      <c r="P43" s="636">
        <f t="shared" si="5"/>
        <v>2851</v>
      </c>
      <c r="Q43" s="636">
        <f t="shared" si="5"/>
        <v>2064</v>
      </c>
      <c r="R43" s="636">
        <f t="shared" si="5"/>
        <v>1509</v>
      </c>
      <c r="S43" s="636">
        <f t="shared" si="5"/>
        <v>2260</v>
      </c>
      <c r="T43" s="636">
        <f t="shared" si="5"/>
        <v>0</v>
      </c>
      <c r="U43" s="636">
        <f t="shared" si="5"/>
        <v>0</v>
      </c>
      <c r="V43" s="635">
        <f t="shared" si="3"/>
        <v>18120</v>
      </c>
      <c r="W43" s="638">
        <f t="shared" si="4"/>
        <v>88.95434462444771</v>
      </c>
    </row>
    <row r="44" spans="1:23" ht="6.75" customHeight="1" thickBot="1">
      <c r="A44" s="544"/>
      <c r="B44" s="545"/>
      <c r="C44" s="643"/>
      <c r="D44" s="643"/>
      <c r="E44" s="644"/>
      <c r="F44" s="645"/>
      <c r="G44" s="645"/>
      <c r="H44" s="645"/>
      <c r="I44" s="628"/>
      <c r="J44" s="576"/>
      <c r="K44" s="585"/>
      <c r="L44" s="586"/>
      <c r="M44" s="586"/>
      <c r="N44" s="585"/>
      <c r="O44" s="585"/>
      <c r="P44" s="585"/>
      <c r="Q44" s="585"/>
      <c r="R44" s="585"/>
      <c r="S44" s="585"/>
      <c r="T44" s="585"/>
      <c r="U44" s="646"/>
      <c r="V44" s="628"/>
      <c r="W44" s="630"/>
    </row>
    <row r="45" spans="1:23" ht="17.25" customHeight="1" thickBot="1">
      <c r="A45" s="631" t="s">
        <v>599</v>
      </c>
      <c r="B45" s="632"/>
      <c r="C45" s="633">
        <f>+C43-C41</f>
        <v>6040</v>
      </c>
      <c r="D45" s="633">
        <v>7569</v>
      </c>
      <c r="E45" s="634">
        <v>7639</v>
      </c>
      <c r="F45" s="635">
        <v>6429</v>
      </c>
      <c r="G45" s="635">
        <v>5515</v>
      </c>
      <c r="H45" s="635">
        <v>6589</v>
      </c>
      <c r="I45" s="635">
        <f>+I43-I41</f>
        <v>6722</v>
      </c>
      <c r="J45" s="634">
        <f aca="true" t="shared" si="6" ref="J45:U45">+J43-J41</f>
        <v>838</v>
      </c>
      <c r="K45" s="636">
        <f t="shared" si="6"/>
        <v>688</v>
      </c>
      <c r="L45" s="636">
        <f t="shared" si="6"/>
        <v>772</v>
      </c>
      <c r="M45" s="636">
        <f t="shared" si="6"/>
        <v>423</v>
      </c>
      <c r="N45" s="636">
        <f t="shared" si="6"/>
        <v>194</v>
      </c>
      <c r="O45" s="636">
        <f t="shared" si="6"/>
        <v>153</v>
      </c>
      <c r="P45" s="636">
        <f t="shared" si="6"/>
        <v>102</v>
      </c>
      <c r="Q45" s="636">
        <f t="shared" si="6"/>
        <v>918</v>
      </c>
      <c r="R45" s="636">
        <f t="shared" si="6"/>
        <v>759</v>
      </c>
      <c r="S45" s="636">
        <f t="shared" si="6"/>
        <v>1135</v>
      </c>
      <c r="T45" s="636">
        <f t="shared" si="6"/>
        <v>0</v>
      </c>
      <c r="U45" s="633">
        <f t="shared" si="6"/>
        <v>0</v>
      </c>
      <c r="V45" s="635">
        <f>SUM(J45:U45)</f>
        <v>5982</v>
      </c>
      <c r="W45" s="638">
        <f>+V45/I45*100</f>
        <v>88.9913716155906</v>
      </c>
    </row>
    <row r="46" spans="1:23" ht="19.5" customHeight="1" thickBot="1">
      <c r="A46" s="631" t="s">
        <v>600</v>
      </c>
      <c r="B46" s="632">
        <v>59</v>
      </c>
      <c r="C46" s="633">
        <f>+C43-C37</f>
        <v>0</v>
      </c>
      <c r="D46" s="633">
        <v>12</v>
      </c>
      <c r="E46" s="634">
        <v>-7</v>
      </c>
      <c r="F46" s="635">
        <v>0</v>
      </c>
      <c r="G46" s="635">
        <v>109</v>
      </c>
      <c r="H46" s="635">
        <v>-1202</v>
      </c>
      <c r="I46" s="635">
        <f>+I43-I37</f>
        <v>-2</v>
      </c>
      <c r="J46" s="634">
        <f aca="true" t="shared" si="7" ref="J46:U46">+J43-J37</f>
        <v>-21</v>
      </c>
      <c r="K46" s="636">
        <f t="shared" si="7"/>
        <v>1419</v>
      </c>
      <c r="L46" s="636">
        <f t="shared" si="7"/>
        <v>277</v>
      </c>
      <c r="M46" s="636">
        <f t="shared" si="7"/>
        <v>-498</v>
      </c>
      <c r="N46" s="636">
        <f t="shared" si="7"/>
        <v>-228</v>
      </c>
      <c r="O46" s="636">
        <f t="shared" si="7"/>
        <v>-536</v>
      </c>
      <c r="P46" s="636">
        <f t="shared" si="7"/>
        <v>1141</v>
      </c>
      <c r="Q46" s="636">
        <f t="shared" si="7"/>
        <v>307</v>
      </c>
      <c r="R46" s="636">
        <f t="shared" si="7"/>
        <v>56</v>
      </c>
      <c r="S46" s="636">
        <f t="shared" si="7"/>
        <v>220</v>
      </c>
      <c r="T46" s="636">
        <f t="shared" si="7"/>
        <v>0</v>
      </c>
      <c r="U46" s="637">
        <f t="shared" si="7"/>
        <v>0</v>
      </c>
      <c r="V46" s="635">
        <f>SUM(V43-V37)</f>
        <v>2137</v>
      </c>
      <c r="W46" s="638">
        <f>+V46/I46*100</f>
        <v>-106850</v>
      </c>
    </row>
    <row r="47" spans="1:23" ht="19.5" customHeight="1" thickBot="1">
      <c r="A47" s="631" t="s">
        <v>602</v>
      </c>
      <c r="B47" s="647" t="s">
        <v>618</v>
      </c>
      <c r="C47" s="633">
        <f>+C46-C41</f>
        <v>-8932</v>
      </c>
      <c r="D47" s="633">
        <v>-7926</v>
      </c>
      <c r="E47" s="634">
        <v>-8290</v>
      </c>
      <c r="F47" s="635">
        <v>-15657</v>
      </c>
      <c r="G47" s="635">
        <v>-12531</v>
      </c>
      <c r="H47" s="635">
        <v>-13175</v>
      </c>
      <c r="I47" s="635">
        <f>+I46-I41</f>
        <v>-13650</v>
      </c>
      <c r="J47" s="648">
        <f aca="true" t="shared" si="8" ref="J47:U47">+J46-J41</f>
        <v>-1013</v>
      </c>
      <c r="K47" s="636">
        <f t="shared" si="8"/>
        <v>-782</v>
      </c>
      <c r="L47" s="636">
        <f t="shared" si="8"/>
        <v>-1223</v>
      </c>
      <c r="M47" s="636">
        <f t="shared" si="8"/>
        <v>-873</v>
      </c>
      <c r="N47" s="636">
        <f t="shared" si="8"/>
        <v>-978</v>
      </c>
      <c r="O47" s="636">
        <f t="shared" si="8"/>
        <v>-1086</v>
      </c>
      <c r="P47" s="636">
        <f t="shared" si="8"/>
        <v>-1608</v>
      </c>
      <c r="Q47" s="636">
        <f t="shared" si="8"/>
        <v>-839</v>
      </c>
      <c r="R47" s="636">
        <f t="shared" si="8"/>
        <v>-694</v>
      </c>
      <c r="S47" s="636">
        <f t="shared" si="8"/>
        <v>-905</v>
      </c>
      <c r="T47" s="636">
        <f t="shared" si="8"/>
        <v>0</v>
      </c>
      <c r="U47" s="633">
        <f t="shared" si="8"/>
        <v>0</v>
      </c>
      <c r="V47" s="635">
        <f>SUM(J47:U47)</f>
        <v>-10001</v>
      </c>
      <c r="W47" s="638">
        <f>+V47/I47*100</f>
        <v>73.26739926739927</v>
      </c>
    </row>
    <row r="49" ht="12.75">
      <c r="B49" s="649"/>
    </row>
  </sheetData>
  <sheetProtection/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6" width="9.140625" style="0" hidden="1" customWidth="1"/>
    <col min="7" max="8" width="9.140625" style="0" customWidth="1"/>
    <col min="9" max="9" width="10.28125" style="0" customWidth="1"/>
    <col min="14" max="14" width="9.140625" style="0" customWidth="1"/>
    <col min="20" max="21" width="0" style="0" hidden="1" customWidth="1"/>
    <col min="22" max="23" width="10.28125" style="0" customWidth="1"/>
  </cols>
  <sheetData>
    <row r="1" spans="1:9" ht="25.5">
      <c r="A1" s="654" t="s">
        <v>603</v>
      </c>
      <c r="B1" s="651"/>
      <c r="C1" s="652"/>
      <c r="D1" s="652"/>
      <c r="E1" s="652"/>
      <c r="F1" s="652"/>
      <c r="G1" s="652"/>
      <c r="H1" s="652"/>
      <c r="I1" s="653"/>
    </row>
    <row r="2" spans="1:9" ht="18">
      <c r="A2" s="654" t="s">
        <v>604</v>
      </c>
      <c r="B2" s="522"/>
      <c r="I2" s="521"/>
    </row>
    <row r="3" spans="1:9" ht="12.75">
      <c r="A3" s="521"/>
      <c r="B3" s="521"/>
      <c r="I3" s="521"/>
    </row>
    <row r="4" spans="9:15" ht="13.5" thickBot="1">
      <c r="I4" s="521"/>
      <c r="M4" s="10"/>
      <c r="N4" s="10"/>
      <c r="O4" s="10"/>
    </row>
    <row r="5" spans="1:15" ht="16.5" thickBot="1">
      <c r="A5" s="655" t="s">
        <v>501</v>
      </c>
      <c r="B5" s="655"/>
      <c r="C5" s="656" t="s">
        <v>619</v>
      </c>
      <c r="D5" s="657"/>
      <c r="E5" s="657"/>
      <c r="F5" s="657"/>
      <c r="G5" s="658"/>
      <c r="H5" s="659"/>
      <c r="I5" s="526"/>
      <c r="M5" s="10"/>
      <c r="N5" s="10"/>
      <c r="O5" s="10"/>
    </row>
    <row r="6" spans="1:9" ht="13.5" thickBot="1">
      <c r="A6" s="653" t="s">
        <v>503</v>
      </c>
      <c r="B6" s="653"/>
      <c r="I6" s="521"/>
    </row>
    <row r="7" spans="1:23" ht="15.75">
      <c r="A7" s="660"/>
      <c r="B7" s="661"/>
      <c r="C7" s="662"/>
      <c r="D7" s="528"/>
      <c r="E7" s="528"/>
      <c r="F7" s="528"/>
      <c r="G7" s="528"/>
      <c r="H7" s="528"/>
      <c r="I7" s="663" t="s">
        <v>29</v>
      </c>
      <c r="J7" s="664"/>
      <c r="K7" s="665"/>
      <c r="L7" s="665"/>
      <c r="M7" s="665"/>
      <c r="N7" s="665"/>
      <c r="O7" s="666"/>
      <c r="P7" s="665"/>
      <c r="Q7" s="665"/>
      <c r="R7" s="665"/>
      <c r="S7" s="665"/>
      <c r="T7" s="665"/>
      <c r="U7" s="665"/>
      <c r="V7" s="667" t="s">
        <v>505</v>
      </c>
      <c r="W7" s="663" t="s">
        <v>506</v>
      </c>
    </row>
    <row r="8" spans="1:23" ht="13.5" thickBot="1">
      <c r="A8" s="668" t="s">
        <v>27</v>
      </c>
      <c r="B8" s="669"/>
      <c r="C8" s="670"/>
      <c r="D8" s="536" t="s">
        <v>508</v>
      </c>
      <c r="E8" s="536" t="s">
        <v>509</v>
      </c>
      <c r="F8" s="671" t="s">
        <v>512</v>
      </c>
      <c r="G8" s="671" t="s">
        <v>620</v>
      </c>
      <c r="H8" s="671" t="s">
        <v>621</v>
      </c>
      <c r="I8" s="672">
        <v>2013</v>
      </c>
      <c r="J8" s="673" t="s">
        <v>515</v>
      </c>
      <c r="K8" s="674" t="s">
        <v>516</v>
      </c>
      <c r="L8" s="674" t="s">
        <v>517</v>
      </c>
      <c r="M8" s="674" t="s">
        <v>518</v>
      </c>
      <c r="N8" s="674" t="s">
        <v>519</v>
      </c>
      <c r="O8" s="674" t="s">
        <v>520</v>
      </c>
      <c r="P8" s="674" t="s">
        <v>521</v>
      </c>
      <c r="Q8" s="674" t="s">
        <v>522</v>
      </c>
      <c r="R8" s="674" t="s">
        <v>523</v>
      </c>
      <c r="S8" s="674" t="s">
        <v>524</v>
      </c>
      <c r="T8" s="674" t="s">
        <v>525</v>
      </c>
      <c r="U8" s="673" t="s">
        <v>526</v>
      </c>
      <c r="V8" s="675" t="s">
        <v>527</v>
      </c>
      <c r="W8" s="672" t="s">
        <v>528</v>
      </c>
    </row>
    <row r="9" spans="1:23" ht="16.5">
      <c r="A9" s="676" t="s">
        <v>622</v>
      </c>
      <c r="B9" s="677"/>
      <c r="C9" s="678"/>
      <c r="D9" s="679">
        <v>22</v>
      </c>
      <c r="E9" s="679">
        <v>23</v>
      </c>
      <c r="F9" s="680">
        <v>21</v>
      </c>
      <c r="G9" s="681">
        <v>21</v>
      </c>
      <c r="H9" s="681">
        <v>21</v>
      </c>
      <c r="I9" s="682">
        <v>21</v>
      </c>
      <c r="J9" s="683">
        <v>21</v>
      </c>
      <c r="K9" s="684">
        <v>21</v>
      </c>
      <c r="L9" s="684">
        <v>21</v>
      </c>
      <c r="M9" s="684">
        <v>21</v>
      </c>
      <c r="N9" s="685">
        <v>21</v>
      </c>
      <c r="O9" s="685">
        <v>21</v>
      </c>
      <c r="P9" s="686">
        <v>21</v>
      </c>
      <c r="Q9" s="686">
        <v>21</v>
      </c>
      <c r="R9" s="686">
        <v>21</v>
      </c>
      <c r="S9" s="686">
        <v>21</v>
      </c>
      <c r="T9" s="686"/>
      <c r="U9" s="680"/>
      <c r="V9" s="687" t="s">
        <v>530</v>
      </c>
      <c r="W9" s="688" t="s">
        <v>530</v>
      </c>
    </row>
    <row r="10" spans="1:23" ht="17.25" thickBot="1">
      <c r="A10" s="689" t="s">
        <v>623</v>
      </c>
      <c r="B10" s="690"/>
      <c r="C10" s="691"/>
      <c r="D10" s="692">
        <v>20.91</v>
      </c>
      <c r="E10" s="692">
        <v>21.91</v>
      </c>
      <c r="F10" s="693">
        <v>20.4</v>
      </c>
      <c r="G10" s="694">
        <v>20.4</v>
      </c>
      <c r="H10" s="694">
        <v>20.4</v>
      </c>
      <c r="I10" s="695">
        <v>20.4</v>
      </c>
      <c r="J10" s="696">
        <v>20.4</v>
      </c>
      <c r="K10" s="697">
        <v>20.4</v>
      </c>
      <c r="L10" s="698">
        <v>20.4</v>
      </c>
      <c r="M10" s="698">
        <v>20.4</v>
      </c>
      <c r="N10" s="697">
        <v>20.4</v>
      </c>
      <c r="O10" s="697">
        <v>20.4</v>
      </c>
      <c r="P10" s="699">
        <v>20.4</v>
      </c>
      <c r="Q10" s="699">
        <v>20.4</v>
      </c>
      <c r="R10" s="699">
        <v>20.4</v>
      </c>
      <c r="S10" s="699">
        <v>20.4</v>
      </c>
      <c r="T10" s="699"/>
      <c r="U10" s="693"/>
      <c r="V10" s="700"/>
      <c r="W10" s="701" t="s">
        <v>530</v>
      </c>
    </row>
    <row r="11" spans="1:23" ht="16.5">
      <c r="A11" s="702" t="s">
        <v>624</v>
      </c>
      <c r="B11" s="677"/>
      <c r="C11" s="703" t="s">
        <v>625</v>
      </c>
      <c r="D11" s="704">
        <v>4630</v>
      </c>
      <c r="E11" s="704">
        <v>5103</v>
      </c>
      <c r="F11" s="705">
        <v>6882</v>
      </c>
      <c r="G11" s="706">
        <v>6825</v>
      </c>
      <c r="H11" s="707">
        <v>6741</v>
      </c>
      <c r="I11" s="708" t="s">
        <v>530</v>
      </c>
      <c r="J11" s="705">
        <v>6744</v>
      </c>
      <c r="K11" s="709">
        <v>6760</v>
      </c>
      <c r="L11" s="709">
        <v>6763</v>
      </c>
      <c r="M11" s="710">
        <v>6766</v>
      </c>
      <c r="N11" s="711">
        <v>6766</v>
      </c>
      <c r="O11" s="711">
        <v>6773</v>
      </c>
      <c r="P11" s="711">
        <v>6773</v>
      </c>
      <c r="Q11" s="711">
        <v>6819</v>
      </c>
      <c r="R11" s="711">
        <v>6821</v>
      </c>
      <c r="S11" s="711">
        <v>6891</v>
      </c>
      <c r="T11" s="711"/>
      <c r="U11" s="705"/>
      <c r="V11" s="712" t="s">
        <v>530</v>
      </c>
      <c r="W11" s="708" t="s">
        <v>530</v>
      </c>
    </row>
    <row r="12" spans="1:23" ht="16.5">
      <c r="A12" s="702" t="s">
        <v>607</v>
      </c>
      <c r="B12" s="713"/>
      <c r="C12" s="703" t="s">
        <v>626</v>
      </c>
      <c r="D12" s="714">
        <v>3811</v>
      </c>
      <c r="E12" s="714">
        <v>4577</v>
      </c>
      <c r="F12" s="705">
        <v>6496</v>
      </c>
      <c r="G12" s="706">
        <v>6491</v>
      </c>
      <c r="H12" s="706">
        <v>6492</v>
      </c>
      <c r="I12" s="708" t="s">
        <v>530</v>
      </c>
      <c r="J12" s="715">
        <v>6501</v>
      </c>
      <c r="K12" s="716">
        <v>6522</v>
      </c>
      <c r="L12" s="716">
        <v>6531</v>
      </c>
      <c r="M12" s="717">
        <v>6540</v>
      </c>
      <c r="N12" s="711">
        <v>6546</v>
      </c>
      <c r="O12" s="711">
        <v>6558</v>
      </c>
      <c r="P12" s="711">
        <v>6563</v>
      </c>
      <c r="Q12" s="711">
        <v>6615</v>
      </c>
      <c r="R12" s="711">
        <v>6623</v>
      </c>
      <c r="S12" s="711">
        <v>6697</v>
      </c>
      <c r="T12" s="711"/>
      <c r="U12" s="705"/>
      <c r="V12" s="712" t="s">
        <v>530</v>
      </c>
      <c r="W12" s="708" t="s">
        <v>530</v>
      </c>
    </row>
    <row r="13" spans="1:23" ht="16.5">
      <c r="A13" s="702" t="s">
        <v>538</v>
      </c>
      <c r="B13" s="677"/>
      <c r="C13" s="703" t="s">
        <v>627</v>
      </c>
      <c r="D13" s="714">
        <v>0</v>
      </c>
      <c r="E13" s="714">
        <v>0</v>
      </c>
      <c r="F13" s="705">
        <v>19</v>
      </c>
      <c r="G13" s="706">
        <v>59</v>
      </c>
      <c r="H13" s="706">
        <v>58</v>
      </c>
      <c r="I13" s="708" t="s">
        <v>530</v>
      </c>
      <c r="J13" s="715">
        <v>58</v>
      </c>
      <c r="K13" s="716">
        <v>58</v>
      </c>
      <c r="L13" s="717">
        <v>58</v>
      </c>
      <c r="M13" s="717">
        <v>58</v>
      </c>
      <c r="N13" s="711">
        <v>58</v>
      </c>
      <c r="O13" s="711">
        <v>64</v>
      </c>
      <c r="P13" s="711">
        <v>70</v>
      </c>
      <c r="Q13" s="711">
        <v>76</v>
      </c>
      <c r="R13" s="711">
        <v>40</v>
      </c>
      <c r="S13" s="711">
        <v>40</v>
      </c>
      <c r="T13" s="711"/>
      <c r="U13" s="705"/>
      <c r="V13" s="712" t="s">
        <v>530</v>
      </c>
      <c r="W13" s="708" t="s">
        <v>530</v>
      </c>
    </row>
    <row r="14" spans="1:23" ht="16.5">
      <c r="A14" s="702" t="s">
        <v>541</v>
      </c>
      <c r="B14" s="713"/>
      <c r="C14" s="703" t="s">
        <v>628</v>
      </c>
      <c r="D14" s="714">
        <v>0</v>
      </c>
      <c r="E14" s="714">
        <v>0</v>
      </c>
      <c r="F14" s="705">
        <v>596</v>
      </c>
      <c r="G14" s="706">
        <v>619</v>
      </c>
      <c r="H14" s="706">
        <v>583</v>
      </c>
      <c r="I14" s="708" t="s">
        <v>530</v>
      </c>
      <c r="J14" s="715">
        <v>8267</v>
      </c>
      <c r="K14" s="716">
        <v>7704</v>
      </c>
      <c r="L14" s="717">
        <v>6946</v>
      </c>
      <c r="M14" s="717">
        <v>5599</v>
      </c>
      <c r="N14" s="711">
        <v>4484</v>
      </c>
      <c r="O14" s="711">
        <v>4577</v>
      </c>
      <c r="P14" s="711">
        <v>4007</v>
      </c>
      <c r="Q14" s="711">
        <v>3474</v>
      </c>
      <c r="R14" s="711">
        <v>2242</v>
      </c>
      <c r="S14" s="711">
        <v>1678</v>
      </c>
      <c r="T14" s="711"/>
      <c r="U14" s="705"/>
      <c r="V14" s="712" t="s">
        <v>530</v>
      </c>
      <c r="W14" s="708" t="s">
        <v>530</v>
      </c>
    </row>
    <row r="15" spans="1:23" ht="17.25" thickBot="1">
      <c r="A15" s="676" t="s">
        <v>543</v>
      </c>
      <c r="B15" s="677"/>
      <c r="C15" s="718" t="s">
        <v>629</v>
      </c>
      <c r="D15" s="719">
        <v>869</v>
      </c>
      <c r="E15" s="719">
        <v>1024</v>
      </c>
      <c r="F15" s="720">
        <v>1443</v>
      </c>
      <c r="G15" s="721">
        <v>1237</v>
      </c>
      <c r="H15" s="721">
        <v>1222</v>
      </c>
      <c r="I15" s="688" t="s">
        <v>530</v>
      </c>
      <c r="J15" s="722">
        <v>1190</v>
      </c>
      <c r="K15" s="685">
        <v>1374</v>
      </c>
      <c r="L15" s="684">
        <v>1466</v>
      </c>
      <c r="M15" s="684">
        <v>2029</v>
      </c>
      <c r="N15" s="685">
        <v>2506</v>
      </c>
      <c r="O15" s="685">
        <v>1827</v>
      </c>
      <c r="P15" s="685">
        <v>1677</v>
      </c>
      <c r="Q15" s="685">
        <v>1526</v>
      </c>
      <c r="R15" s="685">
        <v>2285</v>
      </c>
      <c r="S15" s="685">
        <v>2126</v>
      </c>
      <c r="T15" s="685"/>
      <c r="U15" s="720"/>
      <c r="V15" s="687" t="s">
        <v>530</v>
      </c>
      <c r="W15" s="688" t="s">
        <v>530</v>
      </c>
    </row>
    <row r="16" spans="1:23" ht="17.25" thickBot="1">
      <c r="A16" s="723" t="s">
        <v>546</v>
      </c>
      <c r="B16" s="724"/>
      <c r="C16" s="725"/>
      <c r="D16" s="726">
        <v>1838</v>
      </c>
      <c r="E16" s="726">
        <v>1811</v>
      </c>
      <c r="F16" s="727">
        <v>2420</v>
      </c>
      <c r="G16" s="728">
        <v>2454</v>
      </c>
      <c r="H16" s="728">
        <v>2295</v>
      </c>
      <c r="I16" s="729" t="s">
        <v>530</v>
      </c>
      <c r="J16" s="727">
        <v>16994</v>
      </c>
      <c r="K16" s="730">
        <v>16630</v>
      </c>
      <c r="L16" s="731">
        <v>15967</v>
      </c>
      <c r="M16" s="731">
        <v>15187</v>
      </c>
      <c r="N16" s="730">
        <v>14549</v>
      </c>
      <c r="O16" s="730">
        <v>13977</v>
      </c>
      <c r="P16" s="730">
        <v>13261</v>
      </c>
      <c r="Q16" s="730">
        <v>12630</v>
      </c>
      <c r="R16" s="730">
        <v>12123</v>
      </c>
      <c r="S16" s="730">
        <v>11469</v>
      </c>
      <c r="T16" s="730"/>
      <c r="U16" s="727"/>
      <c r="V16" s="732" t="s">
        <v>530</v>
      </c>
      <c r="W16" s="729" t="s">
        <v>530</v>
      </c>
    </row>
    <row r="17" spans="1:23" ht="16.5">
      <c r="A17" s="676" t="s">
        <v>630</v>
      </c>
      <c r="B17" s="677"/>
      <c r="C17" s="718" t="s">
        <v>631</v>
      </c>
      <c r="D17" s="719">
        <v>833</v>
      </c>
      <c r="E17" s="719">
        <v>540</v>
      </c>
      <c r="F17" s="720">
        <v>401</v>
      </c>
      <c r="G17" s="721">
        <v>379</v>
      </c>
      <c r="H17" s="721">
        <v>293</v>
      </c>
      <c r="I17" s="688" t="s">
        <v>530</v>
      </c>
      <c r="J17" s="722">
        <v>286</v>
      </c>
      <c r="K17" s="685">
        <v>279</v>
      </c>
      <c r="L17" s="684">
        <v>272</v>
      </c>
      <c r="M17" s="684">
        <v>265</v>
      </c>
      <c r="N17" s="685">
        <v>258</v>
      </c>
      <c r="O17" s="685">
        <v>251</v>
      </c>
      <c r="P17" s="685">
        <v>245</v>
      </c>
      <c r="Q17" s="685">
        <v>238</v>
      </c>
      <c r="R17" s="685">
        <v>231</v>
      </c>
      <c r="S17" s="685">
        <v>225</v>
      </c>
      <c r="T17" s="685"/>
      <c r="U17" s="720"/>
      <c r="V17" s="687" t="s">
        <v>530</v>
      </c>
      <c r="W17" s="688" t="s">
        <v>530</v>
      </c>
    </row>
    <row r="18" spans="1:23" ht="16.5">
      <c r="A18" s="702" t="s">
        <v>632</v>
      </c>
      <c r="B18" s="713"/>
      <c r="C18" s="703" t="s">
        <v>633</v>
      </c>
      <c r="D18" s="704">
        <v>584</v>
      </c>
      <c r="E18" s="704">
        <v>483</v>
      </c>
      <c r="F18" s="705">
        <v>781</v>
      </c>
      <c r="G18" s="706">
        <v>725</v>
      </c>
      <c r="H18" s="706">
        <v>698</v>
      </c>
      <c r="I18" s="708" t="s">
        <v>530</v>
      </c>
      <c r="J18" s="705">
        <v>710</v>
      </c>
      <c r="K18" s="711">
        <v>723</v>
      </c>
      <c r="L18" s="710">
        <v>732</v>
      </c>
      <c r="M18" s="710">
        <v>770</v>
      </c>
      <c r="N18" s="711">
        <v>783</v>
      </c>
      <c r="O18" s="711">
        <v>796</v>
      </c>
      <c r="P18" s="711">
        <v>809</v>
      </c>
      <c r="Q18" s="711">
        <v>818</v>
      </c>
      <c r="R18" s="711">
        <v>832</v>
      </c>
      <c r="S18" s="711">
        <v>837</v>
      </c>
      <c r="T18" s="711"/>
      <c r="U18" s="705"/>
      <c r="V18" s="712" t="s">
        <v>530</v>
      </c>
      <c r="W18" s="708" t="s">
        <v>530</v>
      </c>
    </row>
    <row r="19" spans="1:23" ht="16.5">
      <c r="A19" s="702" t="s">
        <v>552</v>
      </c>
      <c r="B19" s="713"/>
      <c r="C19" s="703" t="s">
        <v>634</v>
      </c>
      <c r="D19" s="714">
        <v>0</v>
      </c>
      <c r="E19" s="714">
        <v>0</v>
      </c>
      <c r="F19" s="705">
        <v>0</v>
      </c>
      <c r="G19" s="706">
        <v>0</v>
      </c>
      <c r="H19" s="706">
        <v>0</v>
      </c>
      <c r="I19" s="708" t="s">
        <v>530</v>
      </c>
      <c r="J19" s="715">
        <v>0</v>
      </c>
      <c r="K19" s="716">
        <v>0</v>
      </c>
      <c r="L19" s="717">
        <v>0</v>
      </c>
      <c r="M19" s="717">
        <v>0</v>
      </c>
      <c r="N19" s="711">
        <v>0</v>
      </c>
      <c r="O19" s="711">
        <v>0</v>
      </c>
      <c r="P19" s="711">
        <v>0</v>
      </c>
      <c r="Q19" s="711">
        <v>0</v>
      </c>
      <c r="R19" s="711">
        <v>0</v>
      </c>
      <c r="S19" s="711">
        <v>0</v>
      </c>
      <c r="T19" s="711"/>
      <c r="U19" s="705"/>
      <c r="V19" s="712" t="s">
        <v>530</v>
      </c>
      <c r="W19" s="708" t="s">
        <v>530</v>
      </c>
    </row>
    <row r="20" spans="1:23" ht="16.5">
      <c r="A20" s="702" t="s">
        <v>554</v>
      </c>
      <c r="B20" s="677"/>
      <c r="C20" s="703" t="s">
        <v>635</v>
      </c>
      <c r="D20" s="714">
        <v>225</v>
      </c>
      <c r="E20" s="714">
        <v>259</v>
      </c>
      <c r="F20" s="705">
        <v>1239</v>
      </c>
      <c r="G20" s="706">
        <v>1146</v>
      </c>
      <c r="H20" s="706">
        <v>1125</v>
      </c>
      <c r="I20" s="708" t="s">
        <v>530</v>
      </c>
      <c r="J20" s="715">
        <v>8651</v>
      </c>
      <c r="K20" s="716">
        <v>8187</v>
      </c>
      <c r="L20" s="717">
        <v>7712</v>
      </c>
      <c r="M20" s="717">
        <v>6151</v>
      </c>
      <c r="N20" s="711">
        <v>5522</v>
      </c>
      <c r="O20" s="711">
        <v>5255</v>
      </c>
      <c r="P20" s="711">
        <v>4562</v>
      </c>
      <c r="Q20" s="711">
        <v>3872</v>
      </c>
      <c r="R20" s="711">
        <v>2729</v>
      </c>
      <c r="S20" s="711">
        <v>2109</v>
      </c>
      <c r="T20" s="711"/>
      <c r="U20" s="705"/>
      <c r="V20" s="712" t="s">
        <v>530</v>
      </c>
      <c r="W20" s="708" t="s">
        <v>530</v>
      </c>
    </row>
    <row r="21" spans="1:23" ht="17.25" thickBot="1">
      <c r="A21" s="702" t="s">
        <v>556</v>
      </c>
      <c r="B21" s="690"/>
      <c r="C21" s="703" t="s">
        <v>636</v>
      </c>
      <c r="D21" s="714">
        <v>0</v>
      </c>
      <c r="E21" s="714">
        <v>0</v>
      </c>
      <c r="F21" s="705">
        <v>0</v>
      </c>
      <c r="G21" s="733">
        <v>0</v>
      </c>
      <c r="H21" s="733">
        <v>0</v>
      </c>
      <c r="I21" s="708" t="s">
        <v>530</v>
      </c>
      <c r="J21" s="715">
        <v>0</v>
      </c>
      <c r="K21" s="716">
        <v>0</v>
      </c>
      <c r="L21" s="717">
        <v>0</v>
      </c>
      <c r="M21" s="717">
        <v>0</v>
      </c>
      <c r="N21" s="711">
        <v>0</v>
      </c>
      <c r="O21" s="711">
        <v>0</v>
      </c>
      <c r="P21" s="711">
        <v>0</v>
      </c>
      <c r="Q21" s="711">
        <v>0</v>
      </c>
      <c r="R21" s="711">
        <v>0</v>
      </c>
      <c r="S21" s="711">
        <v>0</v>
      </c>
      <c r="T21" s="711"/>
      <c r="U21" s="705"/>
      <c r="V21" s="712" t="s">
        <v>530</v>
      </c>
      <c r="W21" s="708" t="s">
        <v>530</v>
      </c>
    </row>
    <row r="22" spans="1:23" ht="16.5">
      <c r="A22" s="734" t="s">
        <v>558</v>
      </c>
      <c r="B22" s="677"/>
      <c r="C22" s="735"/>
      <c r="D22" s="736">
        <v>6805</v>
      </c>
      <c r="E22" s="736">
        <v>6979</v>
      </c>
      <c r="F22" s="737">
        <v>8746</v>
      </c>
      <c r="G22" s="737">
        <v>8318</v>
      </c>
      <c r="H22" s="737">
        <v>8465</v>
      </c>
      <c r="I22" s="738">
        <v>8555</v>
      </c>
      <c r="J22" s="739">
        <v>586</v>
      </c>
      <c r="K22" s="709">
        <v>586</v>
      </c>
      <c r="L22" s="709">
        <v>586</v>
      </c>
      <c r="M22" s="709">
        <v>1346</v>
      </c>
      <c r="N22" s="709">
        <v>586</v>
      </c>
      <c r="O22" s="709">
        <v>591</v>
      </c>
      <c r="P22" s="709">
        <v>586</v>
      </c>
      <c r="Q22" s="709">
        <v>623</v>
      </c>
      <c r="R22" s="709">
        <v>1351</v>
      </c>
      <c r="S22" s="709">
        <v>591</v>
      </c>
      <c r="T22" s="709"/>
      <c r="U22" s="739"/>
      <c r="V22" s="740">
        <f>SUM(J22:U22)</f>
        <v>7432</v>
      </c>
      <c r="W22" s="741">
        <f>+V22/I22*100</f>
        <v>86.87317358270018</v>
      </c>
    </row>
    <row r="23" spans="1:23" ht="16.5">
      <c r="A23" s="702" t="s">
        <v>560</v>
      </c>
      <c r="B23" s="713"/>
      <c r="C23" s="742"/>
      <c r="D23" s="704"/>
      <c r="E23" s="704"/>
      <c r="F23" s="743">
        <v>130</v>
      </c>
      <c r="G23" s="743">
        <v>0</v>
      </c>
      <c r="H23" s="743">
        <v>0</v>
      </c>
      <c r="I23" s="744">
        <v>0</v>
      </c>
      <c r="J23" s="705">
        <v>0</v>
      </c>
      <c r="K23" s="711">
        <v>0</v>
      </c>
      <c r="L23" s="711">
        <v>0</v>
      </c>
      <c r="M23" s="711">
        <v>0</v>
      </c>
      <c r="N23" s="711">
        <v>0</v>
      </c>
      <c r="O23" s="711">
        <v>0</v>
      </c>
      <c r="P23" s="711">
        <v>0</v>
      </c>
      <c r="Q23" s="711">
        <v>0</v>
      </c>
      <c r="R23" s="711">
        <v>0</v>
      </c>
      <c r="S23" s="711">
        <v>0</v>
      </c>
      <c r="T23" s="711"/>
      <c r="U23" s="705"/>
      <c r="V23" s="745">
        <f>SUM(J23:U23)</f>
        <v>0</v>
      </c>
      <c r="W23" s="746" t="e">
        <f>+V23/I23*100</f>
        <v>#DIV/0!</v>
      </c>
    </row>
    <row r="24" spans="1:23" ht="17.25" thickBot="1">
      <c r="A24" s="747" t="s">
        <v>562</v>
      </c>
      <c r="B24" s="677"/>
      <c r="C24" s="748"/>
      <c r="D24" s="749">
        <v>6505</v>
      </c>
      <c r="E24" s="749">
        <v>6369</v>
      </c>
      <c r="F24" s="750">
        <v>7026</v>
      </c>
      <c r="G24" s="750">
        <v>6712</v>
      </c>
      <c r="H24" s="750">
        <v>6700</v>
      </c>
      <c r="I24" s="751">
        <v>7040</v>
      </c>
      <c r="J24" s="752">
        <v>586</v>
      </c>
      <c r="K24" s="753">
        <v>586</v>
      </c>
      <c r="L24" s="753">
        <v>586</v>
      </c>
      <c r="M24" s="753">
        <v>586</v>
      </c>
      <c r="N24" s="753">
        <v>586</v>
      </c>
      <c r="O24" s="753">
        <v>586</v>
      </c>
      <c r="P24" s="753">
        <v>586</v>
      </c>
      <c r="Q24" s="753">
        <v>586</v>
      </c>
      <c r="R24" s="753">
        <v>586</v>
      </c>
      <c r="S24" s="753">
        <v>586</v>
      </c>
      <c r="T24" s="753"/>
      <c r="U24" s="752"/>
      <c r="V24" s="754">
        <f>SUM(J24:U24)</f>
        <v>5860</v>
      </c>
      <c r="W24" s="755">
        <f>+V24/I24*100</f>
        <v>83.23863636363636</v>
      </c>
    </row>
    <row r="25" spans="1:23" ht="16.5">
      <c r="A25" s="702" t="s">
        <v>563</v>
      </c>
      <c r="B25" s="756" t="s">
        <v>637</v>
      </c>
      <c r="C25" s="703" t="s">
        <v>638</v>
      </c>
      <c r="D25" s="704">
        <v>2275</v>
      </c>
      <c r="E25" s="704">
        <v>2131</v>
      </c>
      <c r="F25" s="743">
        <v>1301</v>
      </c>
      <c r="G25" s="743">
        <v>1400</v>
      </c>
      <c r="H25" s="743">
        <v>1387</v>
      </c>
      <c r="I25" s="757">
        <v>1210</v>
      </c>
      <c r="J25" s="705">
        <v>26</v>
      </c>
      <c r="K25" s="711">
        <v>52</v>
      </c>
      <c r="L25" s="711">
        <v>85</v>
      </c>
      <c r="M25" s="711">
        <v>97</v>
      </c>
      <c r="N25" s="711">
        <v>118</v>
      </c>
      <c r="O25" s="711">
        <v>111</v>
      </c>
      <c r="P25" s="711">
        <v>68</v>
      </c>
      <c r="Q25" s="711">
        <v>61</v>
      </c>
      <c r="R25" s="711">
        <v>142</v>
      </c>
      <c r="S25" s="711">
        <v>225</v>
      </c>
      <c r="T25" s="711"/>
      <c r="U25" s="705"/>
      <c r="V25" s="745">
        <f aca="true" t="shared" si="0" ref="V25:V35">SUM(J25:U25)</f>
        <v>985</v>
      </c>
      <c r="W25" s="746">
        <f aca="true" t="shared" si="1" ref="W25:W35">+V25/I25*100</f>
        <v>81.40495867768594</v>
      </c>
    </row>
    <row r="26" spans="1:23" ht="16.5">
      <c r="A26" s="702" t="s">
        <v>565</v>
      </c>
      <c r="B26" s="758" t="s">
        <v>639</v>
      </c>
      <c r="C26" s="703" t="s">
        <v>640</v>
      </c>
      <c r="D26" s="714">
        <v>269</v>
      </c>
      <c r="E26" s="714">
        <v>415</v>
      </c>
      <c r="F26" s="759">
        <v>809</v>
      </c>
      <c r="G26" s="759">
        <v>848</v>
      </c>
      <c r="H26" s="759">
        <v>791</v>
      </c>
      <c r="I26" s="744">
        <v>840</v>
      </c>
      <c r="J26" s="705">
        <v>37</v>
      </c>
      <c r="K26" s="711">
        <v>11</v>
      </c>
      <c r="L26" s="711">
        <v>157</v>
      </c>
      <c r="M26" s="711">
        <v>24</v>
      </c>
      <c r="N26" s="711">
        <v>7</v>
      </c>
      <c r="O26" s="711">
        <v>169</v>
      </c>
      <c r="P26" s="711">
        <v>18</v>
      </c>
      <c r="Q26" s="711">
        <v>7</v>
      </c>
      <c r="R26" s="711">
        <v>169</v>
      </c>
      <c r="S26" s="711">
        <v>7</v>
      </c>
      <c r="T26" s="711"/>
      <c r="U26" s="705"/>
      <c r="V26" s="745">
        <f t="shared" si="0"/>
        <v>606</v>
      </c>
      <c r="W26" s="746">
        <f t="shared" si="1"/>
        <v>72.14285714285714</v>
      </c>
    </row>
    <row r="27" spans="1:23" ht="16.5">
      <c r="A27" s="702" t="s">
        <v>567</v>
      </c>
      <c r="B27" s="760" t="s">
        <v>641</v>
      </c>
      <c r="C27" s="703" t="s">
        <v>642</v>
      </c>
      <c r="D27" s="714">
        <v>0</v>
      </c>
      <c r="E27" s="714">
        <v>1</v>
      </c>
      <c r="F27" s="759">
        <v>1</v>
      </c>
      <c r="G27" s="759">
        <v>2</v>
      </c>
      <c r="H27" s="759">
        <v>0</v>
      </c>
      <c r="I27" s="744">
        <v>0</v>
      </c>
      <c r="J27" s="705">
        <v>0</v>
      </c>
      <c r="K27" s="711">
        <v>0</v>
      </c>
      <c r="L27" s="711">
        <v>0</v>
      </c>
      <c r="M27" s="711">
        <v>0</v>
      </c>
      <c r="N27" s="711">
        <v>0</v>
      </c>
      <c r="O27" s="711">
        <v>0</v>
      </c>
      <c r="P27" s="711">
        <v>0</v>
      </c>
      <c r="Q27" s="711">
        <v>0</v>
      </c>
      <c r="R27" s="711">
        <v>0</v>
      </c>
      <c r="S27" s="711">
        <v>0</v>
      </c>
      <c r="T27" s="711"/>
      <c r="U27" s="705"/>
      <c r="V27" s="745">
        <f t="shared" si="0"/>
        <v>0</v>
      </c>
      <c r="W27" s="746" t="e">
        <f t="shared" si="1"/>
        <v>#DIV/0!</v>
      </c>
    </row>
    <row r="28" spans="1:23" ht="16.5">
      <c r="A28" s="702" t="s">
        <v>569</v>
      </c>
      <c r="B28" s="760" t="s">
        <v>643</v>
      </c>
      <c r="C28" s="703" t="s">
        <v>644</v>
      </c>
      <c r="D28" s="714">
        <v>582</v>
      </c>
      <c r="E28" s="714">
        <v>430</v>
      </c>
      <c r="F28" s="759">
        <v>233</v>
      </c>
      <c r="G28" s="759">
        <v>60</v>
      </c>
      <c r="H28" s="759">
        <v>160</v>
      </c>
      <c r="I28" s="744">
        <v>71</v>
      </c>
      <c r="J28" s="705">
        <v>4</v>
      </c>
      <c r="K28" s="711">
        <v>0</v>
      </c>
      <c r="L28" s="711">
        <v>2</v>
      </c>
      <c r="M28" s="711">
        <v>0</v>
      </c>
      <c r="N28" s="711">
        <v>2</v>
      </c>
      <c r="O28" s="711">
        <v>2</v>
      </c>
      <c r="P28" s="711">
        <v>1</v>
      </c>
      <c r="Q28" s="711">
        <v>0</v>
      </c>
      <c r="R28" s="711">
        <v>1</v>
      </c>
      <c r="S28" s="711">
        <v>0</v>
      </c>
      <c r="T28" s="711"/>
      <c r="U28" s="705"/>
      <c r="V28" s="745">
        <f t="shared" si="0"/>
        <v>12</v>
      </c>
      <c r="W28" s="746">
        <f t="shared" si="1"/>
        <v>16.901408450704224</v>
      </c>
    </row>
    <row r="29" spans="1:23" ht="16.5">
      <c r="A29" s="702" t="s">
        <v>571</v>
      </c>
      <c r="B29" s="758" t="s">
        <v>645</v>
      </c>
      <c r="C29" s="703" t="s">
        <v>646</v>
      </c>
      <c r="D29" s="714">
        <v>566</v>
      </c>
      <c r="E29" s="714">
        <v>656</v>
      </c>
      <c r="F29" s="759">
        <v>496</v>
      </c>
      <c r="G29" s="759">
        <v>517</v>
      </c>
      <c r="H29" s="759">
        <v>507</v>
      </c>
      <c r="I29" s="744">
        <v>596</v>
      </c>
      <c r="J29" s="705">
        <v>39</v>
      </c>
      <c r="K29" s="711">
        <v>25</v>
      </c>
      <c r="L29" s="711">
        <v>41</v>
      </c>
      <c r="M29" s="711">
        <v>38</v>
      </c>
      <c r="N29" s="711">
        <v>34</v>
      </c>
      <c r="O29" s="711">
        <v>44</v>
      </c>
      <c r="P29" s="711">
        <v>48</v>
      </c>
      <c r="Q29" s="711">
        <v>33</v>
      </c>
      <c r="R29" s="711">
        <v>30</v>
      </c>
      <c r="S29" s="711">
        <v>50</v>
      </c>
      <c r="T29" s="711"/>
      <c r="U29" s="705"/>
      <c r="V29" s="745">
        <f t="shared" si="0"/>
        <v>382</v>
      </c>
      <c r="W29" s="746">
        <f t="shared" si="1"/>
        <v>64.09395973154362</v>
      </c>
    </row>
    <row r="30" spans="1:23" ht="16.5">
      <c r="A30" s="702" t="s">
        <v>573</v>
      </c>
      <c r="B30" s="760" t="s">
        <v>647</v>
      </c>
      <c r="C30" s="703" t="s">
        <v>648</v>
      </c>
      <c r="D30" s="714">
        <v>2457</v>
      </c>
      <c r="E30" s="714">
        <v>2785</v>
      </c>
      <c r="F30" s="759">
        <v>4649</v>
      </c>
      <c r="G30" s="759">
        <v>4450</v>
      </c>
      <c r="H30" s="759">
        <v>4485</v>
      </c>
      <c r="I30" s="744">
        <v>4600</v>
      </c>
      <c r="J30" s="705">
        <v>350</v>
      </c>
      <c r="K30" s="711">
        <v>353</v>
      </c>
      <c r="L30" s="711">
        <v>403</v>
      </c>
      <c r="M30" s="711">
        <v>341</v>
      </c>
      <c r="N30" s="711">
        <v>346</v>
      </c>
      <c r="O30" s="711">
        <v>469</v>
      </c>
      <c r="P30" s="711">
        <v>376</v>
      </c>
      <c r="Q30" s="711">
        <v>362</v>
      </c>
      <c r="R30" s="711">
        <v>361</v>
      </c>
      <c r="S30" s="711">
        <v>369</v>
      </c>
      <c r="T30" s="711"/>
      <c r="U30" s="705"/>
      <c r="V30" s="745">
        <f>SUM(J30:U30)</f>
        <v>3730</v>
      </c>
      <c r="W30" s="746">
        <f>+V30/I30*100</f>
        <v>81.08695652173913</v>
      </c>
    </row>
    <row r="31" spans="1:23" ht="16.5">
      <c r="A31" s="702" t="s">
        <v>575</v>
      </c>
      <c r="B31" s="760" t="s">
        <v>649</v>
      </c>
      <c r="C31" s="703" t="s">
        <v>650</v>
      </c>
      <c r="D31" s="714">
        <v>943</v>
      </c>
      <c r="E31" s="714">
        <v>1044</v>
      </c>
      <c r="F31" s="759">
        <v>1758</v>
      </c>
      <c r="G31" s="759">
        <v>1671</v>
      </c>
      <c r="H31" s="759">
        <v>1563</v>
      </c>
      <c r="I31" s="744">
        <v>1623</v>
      </c>
      <c r="J31" s="705">
        <v>124</v>
      </c>
      <c r="K31" s="711">
        <v>122</v>
      </c>
      <c r="L31" s="711">
        <v>141</v>
      </c>
      <c r="M31" s="711">
        <v>119</v>
      </c>
      <c r="N31" s="711">
        <v>118</v>
      </c>
      <c r="O31" s="711">
        <v>163</v>
      </c>
      <c r="P31" s="711">
        <v>134</v>
      </c>
      <c r="Q31" s="711">
        <v>124</v>
      </c>
      <c r="R31" s="711">
        <v>124</v>
      </c>
      <c r="S31" s="711">
        <v>131</v>
      </c>
      <c r="T31" s="711"/>
      <c r="U31" s="705"/>
      <c r="V31" s="745">
        <f>SUM(J31:U31)</f>
        <v>1300</v>
      </c>
      <c r="W31" s="746">
        <f>+V31/I31*100</f>
        <v>80.09858287122611</v>
      </c>
    </row>
    <row r="32" spans="1:23" ht="16.5">
      <c r="A32" s="702" t="s">
        <v>578</v>
      </c>
      <c r="B32" s="758" t="s">
        <v>651</v>
      </c>
      <c r="C32" s="703" t="s">
        <v>652</v>
      </c>
      <c r="D32" s="714">
        <v>0</v>
      </c>
      <c r="E32" s="714">
        <v>0</v>
      </c>
      <c r="F32" s="759">
        <v>0</v>
      </c>
      <c r="G32" s="759">
        <v>0</v>
      </c>
      <c r="H32" s="759">
        <v>0</v>
      </c>
      <c r="I32" s="744">
        <v>0</v>
      </c>
      <c r="J32" s="705">
        <v>0</v>
      </c>
      <c r="K32" s="711">
        <v>0</v>
      </c>
      <c r="L32" s="711">
        <v>0</v>
      </c>
      <c r="M32" s="711">
        <v>0</v>
      </c>
      <c r="N32" s="711">
        <v>0</v>
      </c>
      <c r="O32" s="711">
        <v>0</v>
      </c>
      <c r="P32" s="711">
        <v>0</v>
      </c>
      <c r="Q32" s="711">
        <v>0</v>
      </c>
      <c r="R32" s="711">
        <v>0</v>
      </c>
      <c r="S32" s="711">
        <v>0</v>
      </c>
      <c r="T32" s="711"/>
      <c r="U32" s="705"/>
      <c r="V32" s="745">
        <f t="shared" si="0"/>
        <v>0</v>
      </c>
      <c r="W32" s="746" t="e">
        <f t="shared" si="1"/>
        <v>#DIV/0!</v>
      </c>
    </row>
    <row r="33" spans="1:23" ht="16.5">
      <c r="A33" s="702" t="s">
        <v>653</v>
      </c>
      <c r="B33" s="760" t="s">
        <v>654</v>
      </c>
      <c r="C33" s="703" t="s">
        <v>655</v>
      </c>
      <c r="D33" s="714"/>
      <c r="E33" s="714"/>
      <c r="F33" s="759">
        <v>0</v>
      </c>
      <c r="G33" s="759">
        <v>0</v>
      </c>
      <c r="H33" s="759">
        <v>428</v>
      </c>
      <c r="I33" s="744">
        <v>90</v>
      </c>
      <c r="J33" s="705">
        <v>17</v>
      </c>
      <c r="K33" s="711">
        <v>1</v>
      </c>
      <c r="L33" s="711">
        <v>3</v>
      </c>
      <c r="M33" s="711">
        <v>3</v>
      </c>
      <c r="N33" s="711">
        <v>0</v>
      </c>
      <c r="O33" s="711">
        <v>7</v>
      </c>
      <c r="P33" s="711">
        <v>0</v>
      </c>
      <c r="Q33" s="711">
        <v>45</v>
      </c>
      <c r="R33" s="711">
        <v>2</v>
      </c>
      <c r="S33" s="711">
        <v>13</v>
      </c>
      <c r="T33" s="711"/>
      <c r="U33" s="705"/>
      <c r="V33" s="745">
        <f t="shared" si="0"/>
        <v>91</v>
      </c>
      <c r="W33" s="746">
        <f t="shared" si="1"/>
        <v>101.11111111111111</v>
      </c>
    </row>
    <row r="34" spans="1:23" ht="16.5">
      <c r="A34" s="702" t="s">
        <v>580</v>
      </c>
      <c r="B34" s="760" t="s">
        <v>656</v>
      </c>
      <c r="C34" s="703" t="s">
        <v>657</v>
      </c>
      <c r="D34" s="714">
        <v>318</v>
      </c>
      <c r="E34" s="714">
        <v>252</v>
      </c>
      <c r="F34" s="759">
        <v>88</v>
      </c>
      <c r="G34" s="759">
        <v>99</v>
      </c>
      <c r="H34" s="759">
        <v>104</v>
      </c>
      <c r="I34" s="744">
        <v>134</v>
      </c>
      <c r="J34" s="705">
        <v>11</v>
      </c>
      <c r="K34" s="711">
        <v>11</v>
      </c>
      <c r="L34" s="711">
        <v>11</v>
      </c>
      <c r="M34" s="711">
        <v>11</v>
      </c>
      <c r="N34" s="711">
        <v>11</v>
      </c>
      <c r="O34" s="711">
        <v>11</v>
      </c>
      <c r="P34" s="711">
        <v>11</v>
      </c>
      <c r="Q34" s="711">
        <v>11</v>
      </c>
      <c r="R34" s="711">
        <v>11</v>
      </c>
      <c r="S34" s="711">
        <v>11</v>
      </c>
      <c r="T34" s="711"/>
      <c r="U34" s="705"/>
      <c r="V34" s="745">
        <f t="shared" si="0"/>
        <v>110</v>
      </c>
      <c r="W34" s="746">
        <f t="shared" si="1"/>
        <v>82.08955223880598</v>
      </c>
    </row>
    <row r="35" spans="1:23" ht="17.25" thickBot="1">
      <c r="A35" s="676" t="s">
        <v>616</v>
      </c>
      <c r="B35" s="761"/>
      <c r="C35" s="718"/>
      <c r="D35" s="719">
        <v>98</v>
      </c>
      <c r="E35" s="719">
        <v>128</v>
      </c>
      <c r="F35" s="721">
        <v>70</v>
      </c>
      <c r="G35" s="721">
        <v>77</v>
      </c>
      <c r="H35" s="721">
        <v>64</v>
      </c>
      <c r="I35" s="762">
        <v>71</v>
      </c>
      <c r="J35" s="763">
        <v>1</v>
      </c>
      <c r="K35" s="685">
        <v>0</v>
      </c>
      <c r="L35" s="685">
        <v>9</v>
      </c>
      <c r="M35" s="685">
        <v>8</v>
      </c>
      <c r="N35" s="685">
        <v>12</v>
      </c>
      <c r="O35" s="685">
        <v>5</v>
      </c>
      <c r="P35" s="685">
        <v>7</v>
      </c>
      <c r="Q35" s="685">
        <v>3</v>
      </c>
      <c r="R35" s="685">
        <v>6</v>
      </c>
      <c r="S35" s="685">
        <v>5</v>
      </c>
      <c r="T35" s="685"/>
      <c r="U35" s="720"/>
      <c r="V35" s="764">
        <f t="shared" si="0"/>
        <v>56</v>
      </c>
      <c r="W35" s="765">
        <f t="shared" si="1"/>
        <v>78.87323943661971</v>
      </c>
    </row>
    <row r="36" spans="1:23" ht="17.25" thickBot="1">
      <c r="A36" s="766" t="s">
        <v>658</v>
      </c>
      <c r="B36" s="767"/>
      <c r="C36" s="768" t="s">
        <v>659</v>
      </c>
      <c r="D36" s="633">
        <v>7508</v>
      </c>
      <c r="E36" s="633">
        <f aca="true" t="shared" si="2" ref="E36:U36">SUM(E25:E35)</f>
        <v>7842</v>
      </c>
      <c r="F36" s="728">
        <f>SUM(F25:F35)</f>
        <v>9405</v>
      </c>
      <c r="G36" s="728">
        <f>SUM(G25:G35)</f>
        <v>9124</v>
      </c>
      <c r="H36" s="728">
        <f>SUM(H25:H35)</f>
        <v>9489</v>
      </c>
      <c r="I36" s="769">
        <f t="shared" si="2"/>
        <v>9235</v>
      </c>
      <c r="J36" s="727">
        <f t="shared" si="2"/>
        <v>609</v>
      </c>
      <c r="K36" s="730">
        <f t="shared" si="2"/>
        <v>575</v>
      </c>
      <c r="L36" s="731">
        <f t="shared" si="2"/>
        <v>852</v>
      </c>
      <c r="M36" s="731">
        <f t="shared" si="2"/>
        <v>641</v>
      </c>
      <c r="N36" s="730">
        <f t="shared" si="2"/>
        <v>648</v>
      </c>
      <c r="O36" s="730">
        <f t="shared" si="2"/>
        <v>981</v>
      </c>
      <c r="P36" s="730">
        <f t="shared" si="2"/>
        <v>663</v>
      </c>
      <c r="Q36" s="730">
        <f t="shared" si="2"/>
        <v>646</v>
      </c>
      <c r="R36" s="730">
        <f t="shared" si="2"/>
        <v>846</v>
      </c>
      <c r="S36" s="730">
        <f>SUM(S25:S35)</f>
        <v>811</v>
      </c>
      <c r="T36" s="730">
        <f t="shared" si="2"/>
        <v>0</v>
      </c>
      <c r="U36" s="730">
        <f t="shared" si="2"/>
        <v>0</v>
      </c>
      <c r="V36" s="770">
        <f>V25+V26+V27+V28+V29+V30+V31+V32+V33+V34+V35</f>
        <v>7272</v>
      </c>
      <c r="W36" s="771">
        <f>+V36/I36*100</f>
        <v>78.74390904168924</v>
      </c>
    </row>
    <row r="37" spans="1:23" ht="16.5">
      <c r="A37" s="702" t="s">
        <v>660</v>
      </c>
      <c r="B37" s="756" t="s">
        <v>661</v>
      </c>
      <c r="C37" s="703" t="s">
        <v>662</v>
      </c>
      <c r="D37" s="704">
        <v>0</v>
      </c>
      <c r="E37" s="704">
        <v>0</v>
      </c>
      <c r="F37" s="743">
        <v>0</v>
      </c>
      <c r="G37" s="743">
        <v>0</v>
      </c>
      <c r="H37" s="743">
        <v>0</v>
      </c>
      <c r="I37" s="757">
        <v>0</v>
      </c>
      <c r="J37" s="705">
        <v>0</v>
      </c>
      <c r="K37" s="711">
        <v>0</v>
      </c>
      <c r="L37" s="711">
        <v>0</v>
      </c>
      <c r="M37" s="711">
        <v>0</v>
      </c>
      <c r="N37" s="711">
        <v>0</v>
      </c>
      <c r="O37" s="711">
        <v>0</v>
      </c>
      <c r="P37" s="711">
        <v>0</v>
      </c>
      <c r="Q37" s="711">
        <v>0</v>
      </c>
      <c r="R37" s="711">
        <v>0</v>
      </c>
      <c r="S37" s="711">
        <v>0</v>
      </c>
      <c r="T37" s="711"/>
      <c r="U37" s="705"/>
      <c r="V37" s="745">
        <f aca="true" t="shared" si="3" ref="V37:V42">SUM(J37:U37)</f>
        <v>0</v>
      </c>
      <c r="W37" s="746" t="e">
        <f aca="true" t="shared" si="4" ref="W37:W42">+V37/I37*100</f>
        <v>#DIV/0!</v>
      </c>
    </row>
    <row r="38" spans="1:23" ht="16.5">
      <c r="A38" s="702" t="s">
        <v>663</v>
      </c>
      <c r="B38" s="760" t="s">
        <v>664</v>
      </c>
      <c r="C38" s="703" t="s">
        <v>665</v>
      </c>
      <c r="D38" s="714">
        <v>716</v>
      </c>
      <c r="E38" s="714">
        <v>715</v>
      </c>
      <c r="F38" s="759">
        <v>507</v>
      </c>
      <c r="G38" s="759">
        <v>527</v>
      </c>
      <c r="H38" s="759">
        <v>495</v>
      </c>
      <c r="I38" s="744">
        <v>530</v>
      </c>
      <c r="J38" s="705">
        <v>71</v>
      </c>
      <c r="K38" s="711">
        <v>56</v>
      </c>
      <c r="L38" s="711">
        <v>54</v>
      </c>
      <c r="M38" s="711">
        <v>51</v>
      </c>
      <c r="N38" s="711">
        <v>35</v>
      </c>
      <c r="O38" s="711">
        <v>27</v>
      </c>
      <c r="P38" s="711">
        <v>35</v>
      </c>
      <c r="Q38" s="711">
        <v>25</v>
      </c>
      <c r="R38" s="711">
        <v>38</v>
      </c>
      <c r="S38" s="711">
        <v>53</v>
      </c>
      <c r="T38" s="711"/>
      <c r="U38" s="705"/>
      <c r="V38" s="745">
        <f t="shared" si="3"/>
        <v>445</v>
      </c>
      <c r="W38" s="746">
        <f t="shared" si="4"/>
        <v>83.9622641509434</v>
      </c>
    </row>
    <row r="39" spans="1:23" ht="16.5">
      <c r="A39" s="702" t="s">
        <v>666</v>
      </c>
      <c r="B39" s="758" t="s">
        <v>667</v>
      </c>
      <c r="C39" s="703" t="s">
        <v>668</v>
      </c>
      <c r="D39" s="714">
        <v>26</v>
      </c>
      <c r="E39" s="714">
        <v>32</v>
      </c>
      <c r="F39" s="759">
        <v>1</v>
      </c>
      <c r="G39" s="759">
        <v>2</v>
      </c>
      <c r="H39" s="759">
        <v>0</v>
      </c>
      <c r="I39" s="744">
        <v>0</v>
      </c>
      <c r="J39" s="705">
        <v>0</v>
      </c>
      <c r="K39" s="711">
        <v>0</v>
      </c>
      <c r="L39" s="711">
        <v>0</v>
      </c>
      <c r="M39" s="711">
        <v>0</v>
      </c>
      <c r="N39" s="711">
        <v>0</v>
      </c>
      <c r="O39" s="711">
        <v>0</v>
      </c>
      <c r="P39" s="711">
        <v>0</v>
      </c>
      <c r="Q39" s="711">
        <v>0</v>
      </c>
      <c r="R39" s="711">
        <v>0</v>
      </c>
      <c r="S39" s="711">
        <v>0</v>
      </c>
      <c r="T39" s="711"/>
      <c r="U39" s="705"/>
      <c r="V39" s="745">
        <f t="shared" si="3"/>
        <v>0</v>
      </c>
      <c r="W39" s="746" t="e">
        <f t="shared" si="4"/>
        <v>#DIV/0!</v>
      </c>
    </row>
    <row r="40" spans="1:23" ht="16.5">
      <c r="A40" s="702" t="s">
        <v>592</v>
      </c>
      <c r="B40" s="772"/>
      <c r="C40" s="703" t="s">
        <v>593</v>
      </c>
      <c r="D40" s="714">
        <v>6805</v>
      </c>
      <c r="E40" s="714">
        <v>6979</v>
      </c>
      <c r="F40" s="759">
        <v>8616</v>
      </c>
      <c r="G40" s="759">
        <v>8318</v>
      </c>
      <c r="H40" s="759">
        <v>8465</v>
      </c>
      <c r="I40" s="744">
        <v>8555</v>
      </c>
      <c r="J40" s="705">
        <v>586</v>
      </c>
      <c r="K40" s="711">
        <v>586</v>
      </c>
      <c r="L40" s="711">
        <v>586</v>
      </c>
      <c r="M40" s="711">
        <v>1346</v>
      </c>
      <c r="N40" s="711">
        <v>586</v>
      </c>
      <c r="O40" s="711">
        <v>591</v>
      </c>
      <c r="P40" s="711">
        <v>586</v>
      </c>
      <c r="Q40" s="711">
        <v>623</v>
      </c>
      <c r="R40" s="711">
        <v>1351</v>
      </c>
      <c r="S40" s="711">
        <v>591</v>
      </c>
      <c r="T40" s="711"/>
      <c r="U40" s="705"/>
      <c r="V40" s="745">
        <f>SUM(J40:U40)</f>
        <v>7432</v>
      </c>
      <c r="W40" s="746">
        <f t="shared" si="4"/>
        <v>86.87317358270018</v>
      </c>
    </row>
    <row r="41" spans="1:23" ht="17.25" thickBot="1">
      <c r="A41" s="676" t="s">
        <v>595</v>
      </c>
      <c r="B41" s="773"/>
      <c r="C41" s="774"/>
      <c r="D41" s="719">
        <v>25</v>
      </c>
      <c r="E41" s="719">
        <v>406</v>
      </c>
      <c r="F41" s="721">
        <v>306</v>
      </c>
      <c r="G41" s="721">
        <v>306</v>
      </c>
      <c r="H41" s="721">
        <v>554</v>
      </c>
      <c r="I41" s="757">
        <v>150</v>
      </c>
      <c r="J41" s="763">
        <v>66</v>
      </c>
      <c r="K41" s="685">
        <v>4</v>
      </c>
      <c r="L41" s="685">
        <v>12</v>
      </c>
      <c r="M41" s="685">
        <v>9</v>
      </c>
      <c r="N41" s="685">
        <v>5</v>
      </c>
      <c r="O41" s="685">
        <v>38</v>
      </c>
      <c r="P41" s="685">
        <v>6</v>
      </c>
      <c r="Q41" s="685">
        <v>2</v>
      </c>
      <c r="R41" s="685">
        <v>77</v>
      </c>
      <c r="S41" s="685">
        <v>58</v>
      </c>
      <c r="T41" s="685"/>
      <c r="U41" s="720"/>
      <c r="V41" s="745">
        <f>SUM(J41:U41)</f>
        <v>277</v>
      </c>
      <c r="W41" s="746">
        <f t="shared" si="4"/>
        <v>184.66666666666666</v>
      </c>
    </row>
    <row r="42" spans="1:23" ht="17.25" thickBot="1">
      <c r="A42" s="766" t="s">
        <v>669</v>
      </c>
      <c r="B42" s="775"/>
      <c r="C42" s="768" t="s">
        <v>670</v>
      </c>
      <c r="D42" s="633">
        <f aca="true" t="shared" si="5" ref="D42:T42">SUM(D37:D41)</f>
        <v>7572</v>
      </c>
      <c r="E42" s="633">
        <f t="shared" si="5"/>
        <v>8132</v>
      </c>
      <c r="F42" s="728">
        <f>SUM(F37:F41)</f>
        <v>9430</v>
      </c>
      <c r="G42" s="728">
        <f>SUM(G37:G41)</f>
        <v>9153</v>
      </c>
      <c r="H42" s="728">
        <f>SUM(H37:H41)</f>
        <v>9514</v>
      </c>
      <c r="I42" s="769">
        <f t="shared" si="5"/>
        <v>9235</v>
      </c>
      <c r="J42" s="727">
        <f t="shared" si="5"/>
        <v>723</v>
      </c>
      <c r="K42" s="730">
        <f t="shared" si="5"/>
        <v>646</v>
      </c>
      <c r="L42" s="731">
        <f t="shared" si="5"/>
        <v>652</v>
      </c>
      <c r="M42" s="731">
        <f t="shared" si="5"/>
        <v>1406</v>
      </c>
      <c r="N42" s="730">
        <f t="shared" si="5"/>
        <v>626</v>
      </c>
      <c r="O42" s="730">
        <f t="shared" si="5"/>
        <v>656</v>
      </c>
      <c r="P42" s="730">
        <f t="shared" si="5"/>
        <v>627</v>
      </c>
      <c r="Q42" s="730">
        <f t="shared" si="5"/>
        <v>650</v>
      </c>
      <c r="R42" s="730">
        <f t="shared" si="5"/>
        <v>1466</v>
      </c>
      <c r="S42" s="730">
        <f t="shared" si="5"/>
        <v>702</v>
      </c>
      <c r="T42" s="730">
        <f t="shared" si="5"/>
        <v>0</v>
      </c>
      <c r="U42" s="730">
        <f>SUM(U37:U41)</f>
        <v>0</v>
      </c>
      <c r="V42" s="770">
        <f t="shared" si="3"/>
        <v>8154</v>
      </c>
      <c r="W42" s="771">
        <f t="shared" si="4"/>
        <v>88.29453167298321</v>
      </c>
    </row>
    <row r="43" spans="1:23" ht="6.75" customHeight="1" thickBot="1">
      <c r="A43" s="676"/>
      <c r="B43" s="776"/>
      <c r="C43" s="774"/>
      <c r="D43" s="719"/>
      <c r="E43" s="719"/>
      <c r="F43" s="777"/>
      <c r="G43" s="777"/>
      <c r="H43" s="777"/>
      <c r="I43" s="778"/>
      <c r="J43" s="722"/>
      <c r="K43" s="685"/>
      <c r="L43" s="684"/>
      <c r="M43" s="684"/>
      <c r="N43" s="685"/>
      <c r="O43" s="685"/>
      <c r="P43" s="685"/>
      <c r="Q43" s="685"/>
      <c r="R43" s="685"/>
      <c r="S43" s="685"/>
      <c r="T43" s="685"/>
      <c r="U43" s="779"/>
      <c r="V43" s="764"/>
      <c r="W43" s="765"/>
    </row>
    <row r="44" spans="1:23" ht="17.25" thickBot="1">
      <c r="A44" s="780" t="s">
        <v>599</v>
      </c>
      <c r="B44" s="781"/>
      <c r="C44" s="782"/>
      <c r="D44" s="633">
        <f>+D42-D40</f>
        <v>767</v>
      </c>
      <c r="E44" s="633">
        <f>+E42-E40</f>
        <v>1153</v>
      </c>
      <c r="F44" s="728">
        <v>814</v>
      </c>
      <c r="G44" s="728">
        <f>G41+G39+G38</f>
        <v>835</v>
      </c>
      <c r="H44" s="728">
        <v>1049</v>
      </c>
      <c r="I44" s="769">
        <f aca="true" t="shared" si="6" ref="I44:U44">I37+I38+I39+I41</f>
        <v>680</v>
      </c>
      <c r="J44" s="727">
        <f t="shared" si="6"/>
        <v>137</v>
      </c>
      <c r="K44" s="730">
        <f t="shared" si="6"/>
        <v>60</v>
      </c>
      <c r="L44" s="730">
        <f t="shared" si="6"/>
        <v>66</v>
      </c>
      <c r="M44" s="730">
        <f t="shared" si="6"/>
        <v>60</v>
      </c>
      <c r="N44" s="730">
        <f t="shared" si="6"/>
        <v>40</v>
      </c>
      <c r="O44" s="730">
        <f t="shared" si="6"/>
        <v>65</v>
      </c>
      <c r="P44" s="730">
        <f t="shared" si="6"/>
        <v>41</v>
      </c>
      <c r="Q44" s="730">
        <f t="shared" si="6"/>
        <v>27</v>
      </c>
      <c r="R44" s="730">
        <f t="shared" si="6"/>
        <v>115</v>
      </c>
      <c r="S44" s="730">
        <f t="shared" si="6"/>
        <v>111</v>
      </c>
      <c r="T44" s="730">
        <f t="shared" si="6"/>
        <v>0</v>
      </c>
      <c r="U44" s="769">
        <f t="shared" si="6"/>
        <v>0</v>
      </c>
      <c r="V44" s="770">
        <f>SUM(J44:U44)</f>
        <v>722</v>
      </c>
      <c r="W44" s="771">
        <f>+V44/I44*100</f>
        <v>106.17647058823529</v>
      </c>
    </row>
    <row r="45" spans="1:23" ht="17.25" thickBot="1">
      <c r="A45" s="766" t="s">
        <v>600</v>
      </c>
      <c r="B45" s="781"/>
      <c r="C45" s="768" t="s">
        <v>671</v>
      </c>
      <c r="D45" s="633">
        <f>+D42-D36</f>
        <v>64</v>
      </c>
      <c r="E45" s="633">
        <f>+E42-E36</f>
        <v>290</v>
      </c>
      <c r="F45" s="728">
        <v>25</v>
      </c>
      <c r="G45" s="728">
        <f>G42-G36</f>
        <v>29</v>
      </c>
      <c r="H45" s="728">
        <v>25</v>
      </c>
      <c r="I45" s="769">
        <v>0</v>
      </c>
      <c r="J45" s="727">
        <f aca="true" t="shared" si="7" ref="J45:U45">J42-J36</f>
        <v>114</v>
      </c>
      <c r="K45" s="730">
        <f t="shared" si="7"/>
        <v>71</v>
      </c>
      <c r="L45" s="730">
        <f t="shared" si="7"/>
        <v>-200</v>
      </c>
      <c r="M45" s="730">
        <f t="shared" si="7"/>
        <v>765</v>
      </c>
      <c r="N45" s="730">
        <f t="shared" si="7"/>
        <v>-22</v>
      </c>
      <c r="O45" s="730">
        <f t="shared" si="7"/>
        <v>-325</v>
      </c>
      <c r="P45" s="730">
        <f>P42-P36</f>
        <v>-36</v>
      </c>
      <c r="Q45" s="730">
        <f t="shared" si="7"/>
        <v>4</v>
      </c>
      <c r="R45" s="730">
        <f t="shared" si="7"/>
        <v>620</v>
      </c>
      <c r="S45" s="730">
        <f t="shared" si="7"/>
        <v>-109</v>
      </c>
      <c r="T45" s="730">
        <f t="shared" si="7"/>
        <v>0</v>
      </c>
      <c r="U45" s="731">
        <f t="shared" si="7"/>
        <v>0</v>
      </c>
      <c r="V45" s="770">
        <f>SUM(J45:U45)</f>
        <v>882</v>
      </c>
      <c r="W45" s="771" t="e">
        <f>+V45/I45*100</f>
        <v>#DIV/0!</v>
      </c>
    </row>
    <row r="46" spans="1:23" ht="17.25" thickBot="1">
      <c r="A46" s="780" t="s">
        <v>672</v>
      </c>
      <c r="B46" s="781"/>
      <c r="C46" s="783"/>
      <c r="D46" s="635">
        <f>+D45-D40</f>
        <v>-6741</v>
      </c>
      <c r="E46" s="635">
        <f>+E45-E40</f>
        <v>-6689</v>
      </c>
      <c r="F46" s="728">
        <f>F44-F36</f>
        <v>-8591</v>
      </c>
      <c r="G46" s="728">
        <f>G44-G36</f>
        <v>-8289</v>
      </c>
      <c r="H46" s="728">
        <v>-8440</v>
      </c>
      <c r="I46" s="769">
        <f aca="true" t="shared" si="8" ref="I46:U46">I45-I40</f>
        <v>-8555</v>
      </c>
      <c r="J46" s="784">
        <f t="shared" si="8"/>
        <v>-472</v>
      </c>
      <c r="K46" s="730">
        <f t="shared" si="8"/>
        <v>-515</v>
      </c>
      <c r="L46" s="730">
        <f t="shared" si="8"/>
        <v>-786</v>
      </c>
      <c r="M46" s="730">
        <f t="shared" si="8"/>
        <v>-581</v>
      </c>
      <c r="N46" s="730">
        <f t="shared" si="8"/>
        <v>-608</v>
      </c>
      <c r="O46" s="730">
        <f t="shared" si="8"/>
        <v>-916</v>
      </c>
      <c r="P46" s="730">
        <f t="shared" si="8"/>
        <v>-622</v>
      </c>
      <c r="Q46" s="730">
        <f t="shared" si="8"/>
        <v>-619</v>
      </c>
      <c r="R46" s="730">
        <f t="shared" si="8"/>
        <v>-731</v>
      </c>
      <c r="S46" s="730">
        <f t="shared" si="8"/>
        <v>-700</v>
      </c>
      <c r="T46" s="730">
        <f t="shared" si="8"/>
        <v>0</v>
      </c>
      <c r="U46" s="769">
        <f t="shared" si="8"/>
        <v>0</v>
      </c>
      <c r="V46" s="770">
        <f>SUM(J46:U46)</f>
        <v>-6550</v>
      </c>
      <c r="W46" s="771">
        <f>+V46/I46*100</f>
        <v>76.5634132086499</v>
      </c>
    </row>
  </sheetData>
  <sheetProtection/>
  <mergeCells count="1">
    <mergeCell ref="C5:G5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785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421875" style="0" customWidth="1"/>
    <col min="19" max="19" width="9.28125" style="0" customWidth="1"/>
    <col min="20" max="21" width="0" style="0" hidden="1" customWidth="1"/>
    <col min="24" max="24" width="9.00390625" style="785" customWidth="1"/>
  </cols>
  <sheetData>
    <row r="1" spans="1:10" ht="18">
      <c r="A1" s="971" t="s">
        <v>603</v>
      </c>
      <c r="J1" s="521"/>
    </row>
    <row r="2" spans="1:10" ht="21.75" customHeight="1">
      <c r="A2" s="786" t="s">
        <v>604</v>
      </c>
      <c r="B2" s="787" t="s">
        <v>524</v>
      </c>
      <c r="J2" s="521"/>
    </row>
    <row r="3" spans="1:10" ht="12.75">
      <c r="A3" s="521"/>
      <c r="J3" s="521"/>
    </row>
    <row r="4" spans="2:10" ht="13.5" thickBot="1">
      <c r="B4" s="10"/>
      <c r="C4" s="10"/>
      <c r="D4" s="10"/>
      <c r="E4" s="788"/>
      <c r="F4" s="10"/>
      <c r="G4" s="10"/>
      <c r="J4" s="521"/>
    </row>
    <row r="5" spans="1:10" ht="16.5" thickBot="1">
      <c r="A5" s="526" t="s">
        <v>501</v>
      </c>
      <c r="B5" s="789" t="s">
        <v>673</v>
      </c>
      <c r="C5" s="790"/>
      <c r="D5" s="790"/>
      <c r="E5" s="791"/>
      <c r="F5" s="790"/>
      <c r="G5" s="792"/>
      <c r="H5" s="793"/>
      <c r="I5" s="793"/>
      <c r="J5" s="526"/>
    </row>
    <row r="6" spans="1:10" ht="23.25" customHeight="1" thickBot="1">
      <c r="A6" s="521" t="s">
        <v>503</v>
      </c>
      <c r="J6" s="521"/>
    </row>
    <row r="7" spans="1:24" ht="15">
      <c r="A7" s="794"/>
      <c r="B7" s="795"/>
      <c r="C7" s="795"/>
      <c r="D7" s="795"/>
      <c r="E7" s="796"/>
      <c r="F7" s="795"/>
      <c r="G7" s="797"/>
      <c r="H7" s="797"/>
      <c r="I7" s="798" t="s">
        <v>29</v>
      </c>
      <c r="J7" s="799"/>
      <c r="K7" s="800"/>
      <c r="L7" s="800"/>
      <c r="M7" s="800"/>
      <c r="N7" s="800"/>
      <c r="O7" s="801" t="s">
        <v>504</v>
      </c>
      <c r="P7" s="800"/>
      <c r="Q7" s="800"/>
      <c r="R7" s="800"/>
      <c r="S7" s="800"/>
      <c r="T7" s="800"/>
      <c r="U7" s="800"/>
      <c r="V7" s="802" t="s">
        <v>505</v>
      </c>
      <c r="W7" s="803" t="s">
        <v>506</v>
      </c>
      <c r="X7"/>
    </row>
    <row r="8" spans="1:24" ht="13.5" thickBot="1">
      <c r="A8" s="804" t="s">
        <v>27</v>
      </c>
      <c r="B8" s="805" t="s">
        <v>507</v>
      </c>
      <c r="C8" s="805" t="s">
        <v>508</v>
      </c>
      <c r="D8" s="805" t="s">
        <v>509</v>
      </c>
      <c r="E8" s="805" t="s">
        <v>510</v>
      </c>
      <c r="F8" s="805" t="s">
        <v>511</v>
      </c>
      <c r="G8" s="806" t="s">
        <v>512</v>
      </c>
      <c r="H8" s="806" t="s">
        <v>620</v>
      </c>
      <c r="I8" s="807">
        <v>2013</v>
      </c>
      <c r="J8" s="808" t="s">
        <v>515</v>
      </c>
      <c r="K8" s="809" t="s">
        <v>516</v>
      </c>
      <c r="L8" s="809" t="s">
        <v>517</v>
      </c>
      <c r="M8" s="809" t="s">
        <v>518</v>
      </c>
      <c r="N8" s="809" t="s">
        <v>519</v>
      </c>
      <c r="O8" s="809" t="s">
        <v>520</v>
      </c>
      <c r="P8" s="809" t="s">
        <v>521</v>
      </c>
      <c r="Q8" s="809" t="s">
        <v>522</v>
      </c>
      <c r="R8" s="809" t="s">
        <v>523</v>
      </c>
      <c r="S8" s="809" t="s">
        <v>524</v>
      </c>
      <c r="T8" s="809" t="s">
        <v>525</v>
      </c>
      <c r="U8" s="808" t="s">
        <v>526</v>
      </c>
      <c r="V8" s="810" t="s">
        <v>527</v>
      </c>
      <c r="W8" s="811" t="s">
        <v>528</v>
      </c>
      <c r="X8"/>
    </row>
    <row r="9" spans="1:24" ht="12.75">
      <c r="A9" s="812" t="s">
        <v>529</v>
      </c>
      <c r="B9" s="813"/>
      <c r="C9" s="814">
        <v>104</v>
      </c>
      <c r="D9" s="814">
        <v>104</v>
      </c>
      <c r="E9" s="815"/>
      <c r="F9" s="816">
        <v>12</v>
      </c>
      <c r="G9" s="817">
        <v>11</v>
      </c>
      <c r="H9" s="817">
        <v>13</v>
      </c>
      <c r="I9" s="818"/>
      <c r="J9" s="819">
        <v>14</v>
      </c>
      <c r="K9" s="820">
        <v>16</v>
      </c>
      <c r="L9" s="820">
        <v>16</v>
      </c>
      <c r="M9" s="820">
        <v>16</v>
      </c>
      <c r="N9" s="821">
        <v>16</v>
      </c>
      <c r="O9" s="821">
        <v>17</v>
      </c>
      <c r="P9" s="821">
        <v>21</v>
      </c>
      <c r="Q9" s="821">
        <v>17</v>
      </c>
      <c r="R9" s="821">
        <v>15</v>
      </c>
      <c r="S9" s="821">
        <v>15</v>
      </c>
      <c r="T9" s="821"/>
      <c r="U9" s="822"/>
      <c r="V9" s="823" t="s">
        <v>530</v>
      </c>
      <c r="W9" s="824" t="s">
        <v>530</v>
      </c>
      <c r="X9"/>
    </row>
    <row r="10" spans="1:24" ht="13.5" thickBot="1">
      <c r="A10" s="825" t="s">
        <v>531</v>
      </c>
      <c r="B10" s="826"/>
      <c r="C10" s="827">
        <v>101</v>
      </c>
      <c r="D10" s="827">
        <v>104</v>
      </c>
      <c r="E10" s="828"/>
      <c r="F10" s="827">
        <v>10.5</v>
      </c>
      <c r="G10" s="829">
        <v>9.5</v>
      </c>
      <c r="H10" s="829">
        <v>10.5</v>
      </c>
      <c r="I10" s="830"/>
      <c r="J10" s="829">
        <v>11.5</v>
      </c>
      <c r="K10" s="831">
        <v>12.5</v>
      </c>
      <c r="L10" s="832">
        <v>12.5</v>
      </c>
      <c r="M10" s="832">
        <v>12.5</v>
      </c>
      <c r="N10" s="831">
        <v>12.5</v>
      </c>
      <c r="O10" s="831">
        <v>13</v>
      </c>
      <c r="P10" s="831">
        <v>15</v>
      </c>
      <c r="Q10" s="831">
        <v>13</v>
      </c>
      <c r="R10" s="831">
        <v>11.5</v>
      </c>
      <c r="S10" s="831">
        <v>11.5</v>
      </c>
      <c r="T10" s="831"/>
      <c r="U10" s="829"/>
      <c r="V10" s="833"/>
      <c r="W10" s="834" t="s">
        <v>530</v>
      </c>
      <c r="X10"/>
    </row>
    <row r="11" spans="1:24" ht="12.75">
      <c r="A11" s="835" t="s">
        <v>532</v>
      </c>
      <c r="B11" s="836" t="s">
        <v>533</v>
      </c>
      <c r="C11" s="837">
        <v>37915</v>
      </c>
      <c r="D11" s="837">
        <v>39774</v>
      </c>
      <c r="E11" s="838" t="s">
        <v>534</v>
      </c>
      <c r="F11" s="839">
        <v>4414</v>
      </c>
      <c r="G11" s="840">
        <v>5262</v>
      </c>
      <c r="H11" s="840">
        <v>6039</v>
      </c>
      <c r="I11" s="841" t="s">
        <v>530</v>
      </c>
      <c r="J11" s="842">
        <v>7075</v>
      </c>
      <c r="K11" s="843">
        <v>7081</v>
      </c>
      <c r="L11" s="844">
        <v>7099</v>
      </c>
      <c r="M11" s="844">
        <v>7099</v>
      </c>
      <c r="N11" s="843">
        <v>7202</v>
      </c>
      <c r="O11" s="843">
        <v>7258</v>
      </c>
      <c r="P11" s="845">
        <v>7513</v>
      </c>
      <c r="Q11" s="845">
        <v>7639</v>
      </c>
      <c r="R11" s="845">
        <v>7639</v>
      </c>
      <c r="S11" s="845">
        <v>7639</v>
      </c>
      <c r="T11" s="845"/>
      <c r="U11" s="840"/>
      <c r="V11" s="846" t="s">
        <v>530</v>
      </c>
      <c r="W11" s="847" t="s">
        <v>530</v>
      </c>
      <c r="X11"/>
    </row>
    <row r="12" spans="1:24" ht="12.75">
      <c r="A12" s="848" t="s">
        <v>535</v>
      </c>
      <c r="B12" s="849" t="s">
        <v>536</v>
      </c>
      <c r="C12" s="850">
        <v>-16164</v>
      </c>
      <c r="D12" s="850">
        <v>-17825</v>
      </c>
      <c r="E12" s="838" t="s">
        <v>537</v>
      </c>
      <c r="F12" s="839">
        <v>-4195</v>
      </c>
      <c r="G12" s="840">
        <v>-4392</v>
      </c>
      <c r="H12" s="840">
        <v>-4930</v>
      </c>
      <c r="I12" s="851" t="s">
        <v>530</v>
      </c>
      <c r="J12" s="852">
        <v>-5549</v>
      </c>
      <c r="K12" s="853">
        <v>-5574</v>
      </c>
      <c r="L12" s="854">
        <v>-5612</v>
      </c>
      <c r="M12" s="854">
        <v>-5750</v>
      </c>
      <c r="N12" s="843">
        <v>-5871</v>
      </c>
      <c r="O12" s="843">
        <v>-6028</v>
      </c>
      <c r="P12" s="845">
        <v>-6050</v>
      </c>
      <c r="Q12" s="845">
        <v>-6077</v>
      </c>
      <c r="R12" s="845">
        <v>-6094</v>
      </c>
      <c r="S12" s="845">
        <v>-6127</v>
      </c>
      <c r="T12" s="845"/>
      <c r="U12" s="840"/>
      <c r="V12" s="846" t="s">
        <v>530</v>
      </c>
      <c r="W12" s="847" t="s">
        <v>530</v>
      </c>
      <c r="X12"/>
    </row>
    <row r="13" spans="1:24" ht="12.75">
      <c r="A13" s="848" t="s">
        <v>538</v>
      </c>
      <c r="B13" s="849" t="s">
        <v>539</v>
      </c>
      <c r="C13" s="850">
        <v>604</v>
      </c>
      <c r="D13" s="850">
        <v>619</v>
      </c>
      <c r="E13" s="838" t="s">
        <v>540</v>
      </c>
      <c r="F13" s="839">
        <v>42</v>
      </c>
      <c r="G13" s="840">
        <v>94</v>
      </c>
      <c r="H13" s="840">
        <v>49</v>
      </c>
      <c r="I13" s="851" t="s">
        <v>530</v>
      </c>
      <c r="J13" s="852">
        <v>34</v>
      </c>
      <c r="K13" s="853">
        <v>34</v>
      </c>
      <c r="L13" s="854">
        <v>34</v>
      </c>
      <c r="M13" s="854">
        <v>34</v>
      </c>
      <c r="N13" s="843">
        <v>34</v>
      </c>
      <c r="O13" s="843">
        <v>36</v>
      </c>
      <c r="P13" s="845">
        <v>36</v>
      </c>
      <c r="Q13" s="845">
        <v>36</v>
      </c>
      <c r="R13" s="845">
        <v>36</v>
      </c>
      <c r="S13" s="845">
        <v>36</v>
      </c>
      <c r="T13" s="845"/>
      <c r="U13" s="840"/>
      <c r="V13" s="846" t="s">
        <v>530</v>
      </c>
      <c r="W13" s="847" t="s">
        <v>530</v>
      </c>
      <c r="X13"/>
    </row>
    <row r="14" spans="1:24" ht="12.75">
      <c r="A14" s="848" t="s">
        <v>541</v>
      </c>
      <c r="B14" s="849" t="s">
        <v>542</v>
      </c>
      <c r="C14" s="850">
        <v>221</v>
      </c>
      <c r="D14" s="850">
        <v>610</v>
      </c>
      <c r="E14" s="838" t="s">
        <v>530</v>
      </c>
      <c r="F14" s="839">
        <v>865</v>
      </c>
      <c r="G14" s="840">
        <v>649</v>
      </c>
      <c r="H14" s="840">
        <v>673</v>
      </c>
      <c r="I14" s="851" t="s">
        <v>530</v>
      </c>
      <c r="J14" s="852">
        <v>6860</v>
      </c>
      <c r="K14" s="853">
        <v>6709</v>
      </c>
      <c r="L14" s="854">
        <v>6533</v>
      </c>
      <c r="M14" s="854">
        <v>6517</v>
      </c>
      <c r="N14" s="843">
        <v>5945</v>
      </c>
      <c r="O14" s="843">
        <v>6532</v>
      </c>
      <c r="P14" s="845">
        <v>6925</v>
      </c>
      <c r="Q14" s="845">
        <v>7030</v>
      </c>
      <c r="R14" s="845">
        <v>2225</v>
      </c>
      <c r="S14" s="845">
        <v>2209</v>
      </c>
      <c r="T14" s="845"/>
      <c r="U14" s="840"/>
      <c r="V14" s="846" t="s">
        <v>530</v>
      </c>
      <c r="W14" s="847" t="s">
        <v>530</v>
      </c>
      <c r="X14"/>
    </row>
    <row r="15" spans="1:24" ht="13.5" thickBot="1">
      <c r="A15" s="812" t="s">
        <v>543</v>
      </c>
      <c r="B15" s="855" t="s">
        <v>544</v>
      </c>
      <c r="C15" s="856">
        <v>2021</v>
      </c>
      <c r="D15" s="856">
        <v>852</v>
      </c>
      <c r="E15" s="857" t="s">
        <v>545</v>
      </c>
      <c r="F15" s="858">
        <v>765</v>
      </c>
      <c r="G15" s="859">
        <v>933</v>
      </c>
      <c r="H15" s="859">
        <v>723</v>
      </c>
      <c r="I15" s="860" t="s">
        <v>530</v>
      </c>
      <c r="J15" s="402">
        <v>843</v>
      </c>
      <c r="K15" s="861">
        <v>1192</v>
      </c>
      <c r="L15" s="862">
        <v>1360</v>
      </c>
      <c r="M15" s="862">
        <v>1165</v>
      </c>
      <c r="N15" s="861">
        <v>1903</v>
      </c>
      <c r="O15" s="861">
        <v>1592</v>
      </c>
      <c r="P15" s="863">
        <v>855</v>
      </c>
      <c r="Q15" s="863">
        <v>687</v>
      </c>
      <c r="R15" s="863">
        <v>729</v>
      </c>
      <c r="S15" s="863">
        <v>827</v>
      </c>
      <c r="T15" s="863"/>
      <c r="U15" s="864"/>
      <c r="V15" s="865" t="s">
        <v>530</v>
      </c>
      <c r="W15" s="824" t="s">
        <v>530</v>
      </c>
      <c r="X15"/>
    </row>
    <row r="16" spans="1:24" ht="13.5" thickBot="1">
      <c r="A16" s="866" t="s">
        <v>546</v>
      </c>
      <c r="B16" s="867"/>
      <c r="C16" s="868">
        <v>24618</v>
      </c>
      <c r="D16" s="868">
        <v>24087</v>
      </c>
      <c r="E16" s="869"/>
      <c r="F16" s="870">
        <v>1893</v>
      </c>
      <c r="G16" s="871">
        <v>2546</v>
      </c>
      <c r="H16" s="871">
        <v>2553</v>
      </c>
      <c r="I16" s="872" t="s">
        <v>530</v>
      </c>
      <c r="J16" s="873">
        <f>SUM(J11:J15)</f>
        <v>9263</v>
      </c>
      <c r="K16" s="874">
        <f>SUM(K11:K15)</f>
        <v>9442</v>
      </c>
      <c r="L16" s="875">
        <f>SUM(L11:L15)</f>
        <v>9414</v>
      </c>
      <c r="M16" s="875">
        <v>9065</v>
      </c>
      <c r="N16" s="876">
        <v>9214</v>
      </c>
      <c r="O16" s="876">
        <v>9390</v>
      </c>
      <c r="P16" s="877">
        <v>9279</v>
      </c>
      <c r="Q16" s="877">
        <v>9135</v>
      </c>
      <c r="R16" s="877">
        <v>4535</v>
      </c>
      <c r="S16" s="877">
        <v>4584</v>
      </c>
      <c r="T16" s="877"/>
      <c r="U16" s="871"/>
      <c r="V16" s="878" t="s">
        <v>530</v>
      </c>
      <c r="W16" s="879" t="s">
        <v>530</v>
      </c>
      <c r="X16"/>
    </row>
    <row r="17" spans="1:24" ht="12.75">
      <c r="A17" s="812" t="s">
        <v>547</v>
      </c>
      <c r="B17" s="836" t="s">
        <v>548</v>
      </c>
      <c r="C17" s="837">
        <v>7043</v>
      </c>
      <c r="D17" s="837">
        <v>7240</v>
      </c>
      <c r="E17" s="857">
        <v>401</v>
      </c>
      <c r="F17" s="858">
        <v>220</v>
      </c>
      <c r="G17" s="859">
        <v>1005</v>
      </c>
      <c r="H17" s="859">
        <v>1108</v>
      </c>
      <c r="I17" s="841" t="s">
        <v>530</v>
      </c>
      <c r="J17" s="402">
        <v>1526</v>
      </c>
      <c r="K17" s="861">
        <v>1506</v>
      </c>
      <c r="L17" s="862">
        <v>1487</v>
      </c>
      <c r="M17" s="862">
        <v>1349</v>
      </c>
      <c r="N17" s="861">
        <v>1768</v>
      </c>
      <c r="O17" s="861">
        <v>1230</v>
      </c>
      <c r="P17" s="863">
        <v>1222</v>
      </c>
      <c r="Q17" s="863">
        <v>1595</v>
      </c>
      <c r="R17" s="863">
        <v>1544</v>
      </c>
      <c r="S17" s="863">
        <v>1511</v>
      </c>
      <c r="T17" s="863"/>
      <c r="U17" s="864"/>
      <c r="V17" s="865" t="s">
        <v>530</v>
      </c>
      <c r="W17" s="824" t="s">
        <v>530</v>
      </c>
      <c r="X17"/>
    </row>
    <row r="18" spans="1:24" ht="12.75">
      <c r="A18" s="848" t="s">
        <v>549</v>
      </c>
      <c r="B18" s="849" t="s">
        <v>550</v>
      </c>
      <c r="C18" s="850">
        <v>1001</v>
      </c>
      <c r="D18" s="850">
        <v>820</v>
      </c>
      <c r="E18" s="838" t="s">
        <v>551</v>
      </c>
      <c r="F18" s="839">
        <v>656</v>
      </c>
      <c r="G18" s="840">
        <v>133</v>
      </c>
      <c r="H18" s="840">
        <v>251</v>
      </c>
      <c r="I18" s="851" t="s">
        <v>530</v>
      </c>
      <c r="J18" s="842">
        <v>72</v>
      </c>
      <c r="K18" s="843">
        <v>91</v>
      </c>
      <c r="L18" s="844">
        <v>112</v>
      </c>
      <c r="M18" s="844">
        <v>211</v>
      </c>
      <c r="N18" s="843">
        <v>240</v>
      </c>
      <c r="O18" s="843">
        <v>580</v>
      </c>
      <c r="P18" s="845">
        <v>587</v>
      </c>
      <c r="Q18" s="845">
        <v>214</v>
      </c>
      <c r="R18" s="845">
        <v>267</v>
      </c>
      <c r="S18" s="845">
        <v>298</v>
      </c>
      <c r="T18" s="845"/>
      <c r="U18" s="840"/>
      <c r="V18" s="846" t="s">
        <v>530</v>
      </c>
      <c r="W18" s="847" t="s">
        <v>530</v>
      </c>
      <c r="X18"/>
    </row>
    <row r="19" spans="1:24" ht="12.75">
      <c r="A19" s="848" t="s">
        <v>552</v>
      </c>
      <c r="B19" s="849" t="s">
        <v>553</v>
      </c>
      <c r="C19" s="850">
        <v>14718</v>
      </c>
      <c r="D19" s="850">
        <v>14718</v>
      </c>
      <c r="E19" s="838" t="s">
        <v>530</v>
      </c>
      <c r="F19" s="839">
        <v>0</v>
      </c>
      <c r="G19" s="840">
        <v>0</v>
      </c>
      <c r="H19" s="840">
        <v>0</v>
      </c>
      <c r="I19" s="851" t="s">
        <v>530</v>
      </c>
      <c r="J19" s="852">
        <v>0</v>
      </c>
      <c r="K19" s="853">
        <v>0</v>
      </c>
      <c r="L19" s="854">
        <v>0</v>
      </c>
      <c r="M19" s="854">
        <v>0</v>
      </c>
      <c r="N19" s="843">
        <v>0</v>
      </c>
      <c r="O19" s="843">
        <v>0</v>
      </c>
      <c r="P19" s="845">
        <v>0</v>
      </c>
      <c r="Q19" s="845">
        <v>0</v>
      </c>
      <c r="R19" s="845">
        <v>0</v>
      </c>
      <c r="S19" s="845">
        <v>0</v>
      </c>
      <c r="T19" s="845"/>
      <c r="U19" s="840"/>
      <c r="V19" s="846" t="s">
        <v>530</v>
      </c>
      <c r="W19" s="847" t="s">
        <v>530</v>
      </c>
      <c r="X19"/>
    </row>
    <row r="20" spans="1:24" ht="12.75">
      <c r="A20" s="848" t="s">
        <v>554</v>
      </c>
      <c r="B20" s="849" t="s">
        <v>555</v>
      </c>
      <c r="C20" s="850">
        <v>1758</v>
      </c>
      <c r="D20" s="850">
        <v>1762</v>
      </c>
      <c r="E20" s="838" t="s">
        <v>530</v>
      </c>
      <c r="F20" s="839">
        <v>636</v>
      </c>
      <c r="G20" s="840">
        <v>1541</v>
      </c>
      <c r="H20" s="840">
        <v>1146</v>
      </c>
      <c r="I20" s="851" t="s">
        <v>530</v>
      </c>
      <c r="J20" s="852">
        <v>7426</v>
      </c>
      <c r="K20" s="853">
        <v>7449</v>
      </c>
      <c r="L20" s="854">
        <v>7611</v>
      </c>
      <c r="M20" s="854">
        <v>7529</v>
      </c>
      <c r="N20" s="843">
        <v>7446</v>
      </c>
      <c r="O20" s="843">
        <v>7381</v>
      </c>
      <c r="P20" s="845">
        <v>7375</v>
      </c>
      <c r="Q20" s="845">
        <v>7754</v>
      </c>
      <c r="R20" s="845">
        <v>2580</v>
      </c>
      <c r="S20" s="845">
        <v>2654</v>
      </c>
      <c r="T20" s="845"/>
      <c r="U20" s="840"/>
      <c r="V20" s="846" t="s">
        <v>530</v>
      </c>
      <c r="W20" s="847" t="s">
        <v>530</v>
      </c>
      <c r="X20"/>
    </row>
    <row r="21" spans="1:24" ht="13.5" thickBot="1">
      <c r="A21" s="825" t="s">
        <v>556</v>
      </c>
      <c r="B21" s="880" t="s">
        <v>557</v>
      </c>
      <c r="C21" s="881">
        <v>0</v>
      </c>
      <c r="D21" s="881">
        <v>0</v>
      </c>
      <c r="E21" s="882" t="s">
        <v>530</v>
      </c>
      <c r="F21" s="839">
        <v>0</v>
      </c>
      <c r="G21" s="840">
        <v>0</v>
      </c>
      <c r="H21" s="840">
        <v>0</v>
      </c>
      <c r="I21" s="883" t="s">
        <v>530</v>
      </c>
      <c r="J21" s="852">
        <v>0</v>
      </c>
      <c r="K21" s="853">
        <v>0</v>
      </c>
      <c r="L21" s="854">
        <v>0</v>
      </c>
      <c r="M21" s="854">
        <v>0</v>
      </c>
      <c r="N21" s="843">
        <v>0</v>
      </c>
      <c r="O21" s="843">
        <v>0</v>
      </c>
      <c r="P21" s="845">
        <v>0</v>
      </c>
      <c r="Q21" s="845">
        <v>0</v>
      </c>
      <c r="R21" s="845">
        <v>0</v>
      </c>
      <c r="S21" s="845">
        <v>0</v>
      </c>
      <c r="T21" s="845"/>
      <c r="U21" s="840"/>
      <c r="V21" s="884" t="s">
        <v>530</v>
      </c>
      <c r="W21" s="885" t="s">
        <v>530</v>
      </c>
      <c r="X21"/>
    </row>
    <row r="22" spans="1:24" ht="15">
      <c r="A22" s="886" t="s">
        <v>558</v>
      </c>
      <c r="B22" s="836" t="s">
        <v>559</v>
      </c>
      <c r="C22" s="837">
        <v>12472</v>
      </c>
      <c r="D22" s="837">
        <v>13728</v>
      </c>
      <c r="E22" s="887" t="s">
        <v>530</v>
      </c>
      <c r="F22" s="888">
        <v>9399</v>
      </c>
      <c r="G22" s="889">
        <v>13770</v>
      </c>
      <c r="H22" s="889">
        <v>6434</v>
      </c>
      <c r="I22" s="890">
        <v>6850</v>
      </c>
      <c r="J22" s="891">
        <v>570</v>
      </c>
      <c r="K22" s="892">
        <v>570</v>
      </c>
      <c r="L22" s="893">
        <v>570</v>
      </c>
      <c r="M22" s="893">
        <v>570</v>
      </c>
      <c r="N22" s="893">
        <v>743</v>
      </c>
      <c r="O22" s="893">
        <v>865</v>
      </c>
      <c r="P22" s="893">
        <v>275</v>
      </c>
      <c r="Q22" s="893">
        <v>570</v>
      </c>
      <c r="R22" s="893">
        <v>570</v>
      </c>
      <c r="S22" s="893">
        <v>570</v>
      </c>
      <c r="T22" s="893"/>
      <c r="U22" s="889"/>
      <c r="V22" s="894">
        <f aca="true" t="shared" si="0" ref="V22:V40">SUM(J22:U22)</f>
        <v>5873</v>
      </c>
      <c r="W22" s="895">
        <f>IF(I22&lt;&gt;0,+V22/I22*100,"   ???")</f>
        <v>85.73722627737226</v>
      </c>
      <c r="X22"/>
    </row>
    <row r="23" spans="1:24" ht="15">
      <c r="A23" s="848" t="s">
        <v>560</v>
      </c>
      <c r="B23" s="849" t="s">
        <v>561</v>
      </c>
      <c r="C23" s="850">
        <v>0</v>
      </c>
      <c r="D23" s="850">
        <v>0</v>
      </c>
      <c r="E23" s="896" t="s">
        <v>530</v>
      </c>
      <c r="F23" s="897">
        <v>0</v>
      </c>
      <c r="G23" s="840">
        <v>651</v>
      </c>
      <c r="H23" s="840">
        <v>366</v>
      </c>
      <c r="I23" s="898"/>
      <c r="J23" s="899">
        <v>0</v>
      </c>
      <c r="K23" s="900">
        <v>0</v>
      </c>
      <c r="L23" s="845">
        <v>0</v>
      </c>
      <c r="M23" s="845">
        <v>0</v>
      </c>
      <c r="N23" s="845">
        <v>0</v>
      </c>
      <c r="O23" s="845">
        <v>295</v>
      </c>
      <c r="P23" s="845">
        <v>0</v>
      </c>
      <c r="Q23" s="845">
        <v>0</v>
      </c>
      <c r="R23" s="845">
        <v>0</v>
      </c>
      <c r="S23" s="845">
        <v>0</v>
      </c>
      <c r="T23" s="845"/>
      <c r="U23" s="840"/>
      <c r="V23" s="901">
        <f t="shared" si="0"/>
        <v>295</v>
      </c>
      <c r="W23" s="902">
        <v>0</v>
      </c>
      <c r="X23"/>
    </row>
    <row r="24" spans="1:24" ht="15.75" thickBot="1">
      <c r="A24" s="825" t="s">
        <v>562</v>
      </c>
      <c r="B24" s="880" t="s">
        <v>561</v>
      </c>
      <c r="C24" s="881">
        <v>0</v>
      </c>
      <c r="D24" s="881">
        <v>1215</v>
      </c>
      <c r="E24" s="903">
        <v>672</v>
      </c>
      <c r="F24" s="904">
        <v>6586</v>
      </c>
      <c r="G24" s="859">
        <v>11720</v>
      </c>
      <c r="H24" s="859">
        <v>6068</v>
      </c>
      <c r="I24" s="905">
        <v>6850</v>
      </c>
      <c r="J24" s="451">
        <v>570</v>
      </c>
      <c r="K24" s="906">
        <v>570</v>
      </c>
      <c r="L24" s="863">
        <v>570</v>
      </c>
      <c r="M24" s="863">
        <v>570</v>
      </c>
      <c r="N24" s="863">
        <v>743</v>
      </c>
      <c r="O24" s="863">
        <v>570</v>
      </c>
      <c r="P24" s="863">
        <v>275</v>
      </c>
      <c r="Q24" s="863">
        <v>570</v>
      </c>
      <c r="R24" s="863">
        <v>570</v>
      </c>
      <c r="S24" s="863">
        <v>570</v>
      </c>
      <c r="T24" s="863"/>
      <c r="U24" s="864"/>
      <c r="V24" s="907">
        <f t="shared" si="0"/>
        <v>5578</v>
      </c>
      <c r="W24" s="908">
        <f aca="true" t="shared" si="1" ref="W24:W31">IF(I24&lt;&gt;0,+V24/I24*100,"   ???")</f>
        <v>81.43065693430657</v>
      </c>
      <c r="X24"/>
    </row>
    <row r="25" spans="1:24" ht="15">
      <c r="A25" s="835" t="s">
        <v>563</v>
      </c>
      <c r="B25" s="836" t="s">
        <v>564</v>
      </c>
      <c r="C25" s="837">
        <v>6341</v>
      </c>
      <c r="D25" s="837">
        <v>6960</v>
      </c>
      <c r="E25" s="887">
        <v>501</v>
      </c>
      <c r="F25" s="909">
        <v>552</v>
      </c>
      <c r="G25" s="910">
        <v>357</v>
      </c>
      <c r="H25" s="910">
        <v>796</v>
      </c>
      <c r="I25" s="911">
        <v>400</v>
      </c>
      <c r="J25" s="912">
        <v>46</v>
      </c>
      <c r="K25" s="892">
        <v>12</v>
      </c>
      <c r="L25" s="892">
        <v>9</v>
      </c>
      <c r="M25" s="892">
        <v>49</v>
      </c>
      <c r="N25" s="892">
        <v>33</v>
      </c>
      <c r="O25" s="892">
        <v>43</v>
      </c>
      <c r="P25" s="892">
        <v>42</v>
      </c>
      <c r="Q25" s="892">
        <v>60</v>
      </c>
      <c r="R25" s="892">
        <v>21</v>
      </c>
      <c r="S25" s="892">
        <v>56</v>
      </c>
      <c r="T25" s="892"/>
      <c r="U25" s="913"/>
      <c r="V25" s="914">
        <f t="shared" si="0"/>
        <v>371</v>
      </c>
      <c r="W25" s="915">
        <f t="shared" si="1"/>
        <v>92.75</v>
      </c>
      <c r="X25"/>
    </row>
    <row r="26" spans="1:24" ht="15">
      <c r="A26" s="848" t="s">
        <v>565</v>
      </c>
      <c r="B26" s="849" t="s">
        <v>566</v>
      </c>
      <c r="C26" s="850">
        <v>1745</v>
      </c>
      <c r="D26" s="850">
        <v>2223</v>
      </c>
      <c r="E26" s="896">
        <v>502</v>
      </c>
      <c r="F26" s="897">
        <v>673</v>
      </c>
      <c r="G26" s="916">
        <v>954</v>
      </c>
      <c r="H26" s="916">
        <v>946</v>
      </c>
      <c r="I26" s="917">
        <v>1400</v>
      </c>
      <c r="J26" s="918">
        <v>65</v>
      </c>
      <c r="K26" s="845">
        <v>59</v>
      </c>
      <c r="L26" s="845">
        <v>212</v>
      </c>
      <c r="M26" s="845">
        <v>70</v>
      </c>
      <c r="N26" s="845">
        <v>119</v>
      </c>
      <c r="O26" s="845">
        <v>-248</v>
      </c>
      <c r="P26" s="845">
        <v>81</v>
      </c>
      <c r="Q26" s="845">
        <v>73</v>
      </c>
      <c r="R26" s="845">
        <v>-120</v>
      </c>
      <c r="S26" s="845">
        <v>92</v>
      </c>
      <c r="T26" s="845"/>
      <c r="U26" s="916"/>
      <c r="V26" s="914">
        <f t="shared" si="0"/>
        <v>403</v>
      </c>
      <c r="W26" s="902">
        <f t="shared" si="1"/>
        <v>28.78571428571429</v>
      </c>
      <c r="X26"/>
    </row>
    <row r="27" spans="1:24" ht="15">
      <c r="A27" s="848" t="s">
        <v>567</v>
      </c>
      <c r="B27" s="849" t="s">
        <v>568</v>
      </c>
      <c r="C27" s="850">
        <v>0</v>
      </c>
      <c r="D27" s="850">
        <v>0</v>
      </c>
      <c r="E27" s="896">
        <v>544</v>
      </c>
      <c r="F27" s="897">
        <v>14</v>
      </c>
      <c r="G27" s="916">
        <v>28</v>
      </c>
      <c r="H27" s="916">
        <v>14</v>
      </c>
      <c r="I27" s="917">
        <v>70</v>
      </c>
      <c r="J27" s="918">
        <v>1</v>
      </c>
      <c r="K27" s="845">
        <v>9</v>
      </c>
      <c r="L27" s="845">
        <v>0</v>
      </c>
      <c r="M27" s="845">
        <v>0</v>
      </c>
      <c r="N27" s="845">
        <v>0</v>
      </c>
      <c r="O27" s="845">
        <v>0</v>
      </c>
      <c r="P27" s="845">
        <v>0</v>
      </c>
      <c r="Q27" s="845">
        <v>0</v>
      </c>
      <c r="R27" s="845">
        <v>0</v>
      </c>
      <c r="S27" s="845">
        <v>0</v>
      </c>
      <c r="T27" s="845"/>
      <c r="U27" s="916"/>
      <c r="V27" s="914">
        <f t="shared" si="0"/>
        <v>10</v>
      </c>
      <c r="W27" s="902">
        <f t="shared" si="1"/>
        <v>14.285714285714285</v>
      </c>
      <c r="X27"/>
    </row>
    <row r="28" spans="1:24" ht="15">
      <c r="A28" s="848" t="s">
        <v>569</v>
      </c>
      <c r="B28" s="849" t="s">
        <v>570</v>
      </c>
      <c r="C28" s="850">
        <v>428</v>
      </c>
      <c r="D28" s="850">
        <v>253</v>
      </c>
      <c r="E28" s="896">
        <v>511</v>
      </c>
      <c r="F28" s="897">
        <v>1514</v>
      </c>
      <c r="G28" s="916">
        <v>3627</v>
      </c>
      <c r="H28" s="916">
        <v>149</v>
      </c>
      <c r="I28" s="917">
        <v>100</v>
      </c>
      <c r="J28" s="918">
        <v>2</v>
      </c>
      <c r="K28" s="845">
        <v>1</v>
      </c>
      <c r="L28" s="845">
        <v>5</v>
      </c>
      <c r="M28" s="845">
        <v>8</v>
      </c>
      <c r="N28" s="845">
        <v>2</v>
      </c>
      <c r="O28" s="845">
        <v>29</v>
      </c>
      <c r="P28" s="845">
        <v>163</v>
      </c>
      <c r="Q28" s="845">
        <v>0</v>
      </c>
      <c r="R28" s="845">
        <v>14</v>
      </c>
      <c r="S28" s="845">
        <v>34</v>
      </c>
      <c r="T28" s="845"/>
      <c r="U28" s="916"/>
      <c r="V28" s="914">
        <f t="shared" si="0"/>
        <v>258</v>
      </c>
      <c r="W28" s="902">
        <f t="shared" si="1"/>
        <v>258</v>
      </c>
      <c r="X28"/>
    </row>
    <row r="29" spans="1:24" ht="15">
      <c r="A29" s="848" t="s">
        <v>571</v>
      </c>
      <c r="B29" s="849" t="s">
        <v>572</v>
      </c>
      <c r="C29" s="850">
        <v>1057</v>
      </c>
      <c r="D29" s="850">
        <v>1451</v>
      </c>
      <c r="E29" s="896">
        <v>518</v>
      </c>
      <c r="F29" s="897">
        <v>2878</v>
      </c>
      <c r="G29" s="916">
        <v>4759</v>
      </c>
      <c r="H29" s="916">
        <v>1216</v>
      </c>
      <c r="I29" s="917">
        <v>900</v>
      </c>
      <c r="J29" s="918">
        <v>35</v>
      </c>
      <c r="K29" s="845">
        <v>55</v>
      </c>
      <c r="L29" s="845">
        <v>63</v>
      </c>
      <c r="M29" s="845">
        <v>140</v>
      </c>
      <c r="N29" s="845">
        <v>113</v>
      </c>
      <c r="O29" s="845">
        <v>193</v>
      </c>
      <c r="P29" s="845">
        <v>111</v>
      </c>
      <c r="Q29" s="845">
        <v>188</v>
      </c>
      <c r="R29" s="845">
        <v>82</v>
      </c>
      <c r="S29" s="845">
        <v>63</v>
      </c>
      <c r="T29" s="845"/>
      <c r="U29" s="916"/>
      <c r="V29" s="914">
        <f t="shared" si="0"/>
        <v>1043</v>
      </c>
      <c r="W29" s="902">
        <f t="shared" si="1"/>
        <v>115.88888888888889</v>
      </c>
      <c r="X29"/>
    </row>
    <row r="30" spans="1:24" ht="15">
      <c r="A30" s="848" t="s">
        <v>573</v>
      </c>
      <c r="B30" s="919" t="s">
        <v>574</v>
      </c>
      <c r="C30" s="850">
        <v>10408</v>
      </c>
      <c r="D30" s="850">
        <v>11792</v>
      </c>
      <c r="E30" s="896">
        <v>521</v>
      </c>
      <c r="F30" s="897">
        <v>3067</v>
      </c>
      <c r="G30" s="916">
        <v>3355</v>
      </c>
      <c r="H30" s="916">
        <v>2445</v>
      </c>
      <c r="I30" s="917">
        <v>2850</v>
      </c>
      <c r="J30" s="920">
        <v>185</v>
      </c>
      <c r="K30" s="845">
        <v>191</v>
      </c>
      <c r="L30" s="845">
        <v>318</v>
      </c>
      <c r="M30" s="845">
        <v>213</v>
      </c>
      <c r="N30" s="845">
        <v>217</v>
      </c>
      <c r="O30" s="845">
        <v>337</v>
      </c>
      <c r="P30" s="845">
        <v>244</v>
      </c>
      <c r="Q30" s="845">
        <v>226</v>
      </c>
      <c r="R30" s="845">
        <v>214</v>
      </c>
      <c r="S30" s="845">
        <v>209</v>
      </c>
      <c r="T30" s="845"/>
      <c r="U30" s="916"/>
      <c r="V30" s="914">
        <f t="shared" si="0"/>
        <v>2354</v>
      </c>
      <c r="W30" s="902">
        <f t="shared" si="1"/>
        <v>82.59649122807018</v>
      </c>
      <c r="X30"/>
    </row>
    <row r="31" spans="1:24" ht="15">
      <c r="A31" s="848" t="s">
        <v>575</v>
      </c>
      <c r="B31" s="919" t="s">
        <v>576</v>
      </c>
      <c r="C31" s="850">
        <v>3640</v>
      </c>
      <c r="D31" s="850">
        <v>4174</v>
      </c>
      <c r="E31" s="896" t="s">
        <v>577</v>
      </c>
      <c r="F31" s="897">
        <v>1101</v>
      </c>
      <c r="G31" s="916">
        <v>1260</v>
      </c>
      <c r="H31" s="916">
        <v>892</v>
      </c>
      <c r="I31" s="917">
        <v>1270</v>
      </c>
      <c r="J31" s="920">
        <v>64</v>
      </c>
      <c r="K31" s="845">
        <v>71</v>
      </c>
      <c r="L31" s="845">
        <v>112</v>
      </c>
      <c r="M31" s="845">
        <v>77</v>
      </c>
      <c r="N31" s="845">
        <v>67</v>
      </c>
      <c r="O31" s="845">
        <v>137</v>
      </c>
      <c r="P31" s="845">
        <v>82</v>
      </c>
      <c r="Q31" s="845">
        <v>76</v>
      </c>
      <c r="R31" s="845">
        <v>95</v>
      </c>
      <c r="S31" s="845">
        <v>75</v>
      </c>
      <c r="T31" s="845"/>
      <c r="U31" s="916"/>
      <c r="V31" s="914">
        <f t="shared" si="0"/>
        <v>856</v>
      </c>
      <c r="W31" s="902">
        <f t="shared" si="1"/>
        <v>67.40157480314961</v>
      </c>
      <c r="X31"/>
    </row>
    <row r="32" spans="1:24" ht="15">
      <c r="A32" s="848" t="s">
        <v>578</v>
      </c>
      <c r="B32" s="849" t="s">
        <v>579</v>
      </c>
      <c r="C32" s="850">
        <v>0</v>
      </c>
      <c r="D32" s="850">
        <v>0</v>
      </c>
      <c r="E32" s="896">
        <v>557</v>
      </c>
      <c r="F32" s="897">
        <v>0</v>
      </c>
      <c r="G32" s="916">
        <v>0</v>
      </c>
      <c r="H32" s="916">
        <v>0</v>
      </c>
      <c r="I32" s="917">
        <v>0</v>
      </c>
      <c r="J32" s="918">
        <v>0</v>
      </c>
      <c r="K32" s="845">
        <v>0</v>
      </c>
      <c r="L32" s="845">
        <v>0</v>
      </c>
      <c r="M32" s="845">
        <v>0</v>
      </c>
      <c r="N32" s="845">
        <v>0</v>
      </c>
      <c r="O32" s="845">
        <v>0</v>
      </c>
      <c r="P32" s="845">
        <v>0</v>
      </c>
      <c r="Q32" s="845">
        <v>0</v>
      </c>
      <c r="R32" s="845">
        <v>0</v>
      </c>
      <c r="S32" s="845">
        <v>0</v>
      </c>
      <c r="T32" s="845"/>
      <c r="U32" s="916"/>
      <c r="V32" s="914">
        <f t="shared" si="0"/>
        <v>0</v>
      </c>
      <c r="W32" s="902">
        <v>0</v>
      </c>
      <c r="X32"/>
    </row>
    <row r="33" spans="1:24" ht="15">
      <c r="A33" s="848" t="s">
        <v>580</v>
      </c>
      <c r="B33" s="849" t="s">
        <v>581</v>
      </c>
      <c r="C33" s="850">
        <v>1711</v>
      </c>
      <c r="D33" s="850">
        <v>1801</v>
      </c>
      <c r="E33" s="896">
        <v>551</v>
      </c>
      <c r="F33" s="897">
        <v>46</v>
      </c>
      <c r="G33" s="916">
        <v>45</v>
      </c>
      <c r="H33" s="916">
        <v>128</v>
      </c>
      <c r="I33" s="917">
        <v>230</v>
      </c>
      <c r="J33" s="918">
        <v>19</v>
      </c>
      <c r="K33" s="845">
        <v>19</v>
      </c>
      <c r="L33" s="845">
        <v>19</v>
      </c>
      <c r="M33" s="845">
        <v>19</v>
      </c>
      <c r="N33" s="845">
        <v>19</v>
      </c>
      <c r="O33" s="845">
        <v>41</v>
      </c>
      <c r="P33" s="845">
        <v>25</v>
      </c>
      <c r="Q33" s="845">
        <v>27</v>
      </c>
      <c r="R33" s="845">
        <v>17</v>
      </c>
      <c r="S33" s="845">
        <v>32</v>
      </c>
      <c r="T33" s="845"/>
      <c r="U33" s="916"/>
      <c r="V33" s="914">
        <f t="shared" si="0"/>
        <v>237</v>
      </c>
      <c r="W33" s="902">
        <f>IF(I33&lt;&gt;0,+V33/I33*100,"   ???")</f>
        <v>103.04347826086956</v>
      </c>
      <c r="X33"/>
    </row>
    <row r="34" spans="1:24" ht="15.75" thickBot="1">
      <c r="A34" s="812" t="s">
        <v>582</v>
      </c>
      <c r="B34" s="855"/>
      <c r="C34" s="856">
        <v>569</v>
      </c>
      <c r="D34" s="856">
        <v>614</v>
      </c>
      <c r="E34" s="921" t="s">
        <v>583</v>
      </c>
      <c r="F34" s="922">
        <v>65</v>
      </c>
      <c r="G34" s="923">
        <v>300</v>
      </c>
      <c r="H34" s="923">
        <v>151</v>
      </c>
      <c r="I34" s="924">
        <v>130</v>
      </c>
      <c r="J34" s="925">
        <v>22</v>
      </c>
      <c r="K34" s="926">
        <v>10</v>
      </c>
      <c r="L34" s="926">
        <v>40</v>
      </c>
      <c r="M34" s="926">
        <v>143</v>
      </c>
      <c r="N34" s="926">
        <v>11</v>
      </c>
      <c r="O34" s="926">
        <v>30</v>
      </c>
      <c r="P34" s="926">
        <v>79</v>
      </c>
      <c r="Q34" s="927">
        <v>18</v>
      </c>
      <c r="R34" s="926">
        <v>61</v>
      </c>
      <c r="S34" s="926">
        <v>11</v>
      </c>
      <c r="T34" s="926"/>
      <c r="U34" s="928"/>
      <c r="V34" s="929">
        <f t="shared" si="0"/>
        <v>425</v>
      </c>
      <c r="W34" s="930">
        <f>IF(I34&lt;&gt;0,+V34/I34*100,"   ???")</f>
        <v>326.9230769230769</v>
      </c>
      <c r="X34"/>
    </row>
    <row r="35" spans="1:24" ht="15.75" thickBot="1">
      <c r="A35" s="931" t="s">
        <v>584</v>
      </c>
      <c r="B35" s="932" t="s">
        <v>585</v>
      </c>
      <c r="C35" s="933">
        <f>SUM(C25:C34)</f>
        <v>25899</v>
      </c>
      <c r="D35" s="933">
        <f>SUM(D25:D34)</f>
        <v>29268</v>
      </c>
      <c r="E35" s="934"/>
      <c r="F35" s="935">
        <v>9910</v>
      </c>
      <c r="G35" s="936">
        <v>14685</v>
      </c>
      <c r="H35" s="936">
        <v>6737</v>
      </c>
      <c r="I35" s="937">
        <f aca="true" t="shared" si="2" ref="I35:U35">SUM(I25:I34)</f>
        <v>7350</v>
      </c>
      <c r="J35" s="938">
        <f>SUM(J25:J34)</f>
        <v>439</v>
      </c>
      <c r="K35" s="939">
        <f>SUM(K25:K34)</f>
        <v>427</v>
      </c>
      <c r="L35" s="939">
        <f t="shared" si="2"/>
        <v>778</v>
      </c>
      <c r="M35" s="940">
        <f t="shared" si="2"/>
        <v>719</v>
      </c>
      <c r="N35" s="939">
        <f t="shared" si="2"/>
        <v>581</v>
      </c>
      <c r="O35" s="939">
        <f t="shared" si="2"/>
        <v>562</v>
      </c>
      <c r="P35" s="939">
        <f t="shared" si="2"/>
        <v>827</v>
      </c>
      <c r="Q35" s="939">
        <f t="shared" si="2"/>
        <v>668</v>
      </c>
      <c r="R35" s="939">
        <f t="shared" si="2"/>
        <v>384</v>
      </c>
      <c r="S35" s="939">
        <f t="shared" si="2"/>
        <v>572</v>
      </c>
      <c r="T35" s="939">
        <f t="shared" si="2"/>
        <v>0</v>
      </c>
      <c r="U35" s="939">
        <f t="shared" si="2"/>
        <v>0</v>
      </c>
      <c r="V35" s="941">
        <f t="shared" si="0"/>
        <v>5957</v>
      </c>
      <c r="W35" s="942">
        <f>IF(I35&lt;&gt;0,+V35/I35*100,"   ???")</f>
        <v>81.04761904761905</v>
      </c>
      <c r="X35"/>
    </row>
    <row r="36" spans="1:24" ht="15">
      <c r="A36" s="835" t="s">
        <v>586</v>
      </c>
      <c r="B36" s="836" t="s">
        <v>587</v>
      </c>
      <c r="C36" s="837">
        <v>0</v>
      </c>
      <c r="D36" s="837">
        <v>0</v>
      </c>
      <c r="E36" s="887">
        <v>601</v>
      </c>
      <c r="F36" s="943">
        <v>0</v>
      </c>
      <c r="G36" s="909">
        <v>0</v>
      </c>
      <c r="H36" s="909">
        <v>0</v>
      </c>
      <c r="I36" s="890">
        <v>0</v>
      </c>
      <c r="J36" s="899">
        <v>0</v>
      </c>
      <c r="K36" s="845">
        <v>0</v>
      </c>
      <c r="L36" s="845">
        <v>0</v>
      </c>
      <c r="M36" s="845">
        <v>0</v>
      </c>
      <c r="N36" s="845">
        <v>0</v>
      </c>
      <c r="O36" s="845">
        <v>0</v>
      </c>
      <c r="P36" s="845">
        <v>0</v>
      </c>
      <c r="Q36" s="845">
        <v>0</v>
      </c>
      <c r="R36" s="845">
        <v>0</v>
      </c>
      <c r="S36" s="845">
        <v>0</v>
      </c>
      <c r="T36" s="845"/>
      <c r="U36" s="840"/>
      <c r="V36" s="944">
        <f t="shared" si="0"/>
        <v>0</v>
      </c>
      <c r="W36" s="915">
        <v>0</v>
      </c>
      <c r="X36"/>
    </row>
    <row r="37" spans="1:24" ht="15">
      <c r="A37" s="848" t="s">
        <v>588</v>
      </c>
      <c r="B37" s="849" t="s">
        <v>589</v>
      </c>
      <c r="C37" s="850">
        <v>1190</v>
      </c>
      <c r="D37" s="850">
        <v>1857</v>
      </c>
      <c r="E37" s="896">
        <v>602</v>
      </c>
      <c r="F37" s="945">
        <v>234</v>
      </c>
      <c r="G37" s="897">
        <v>127</v>
      </c>
      <c r="H37" s="897">
        <v>169</v>
      </c>
      <c r="I37" s="898">
        <v>150</v>
      </c>
      <c r="J37" s="899">
        <v>17</v>
      </c>
      <c r="K37" s="845">
        <v>7</v>
      </c>
      <c r="L37" s="845">
        <v>3</v>
      </c>
      <c r="M37" s="845">
        <v>2</v>
      </c>
      <c r="N37" s="845">
        <v>12</v>
      </c>
      <c r="O37" s="845">
        <v>20</v>
      </c>
      <c r="P37" s="845">
        <v>132</v>
      </c>
      <c r="Q37" s="845">
        <v>35</v>
      </c>
      <c r="R37" s="845">
        <v>58</v>
      </c>
      <c r="S37" s="845">
        <v>15</v>
      </c>
      <c r="T37" s="845"/>
      <c r="U37" s="840"/>
      <c r="V37" s="901">
        <f t="shared" si="0"/>
        <v>301</v>
      </c>
      <c r="W37" s="902">
        <f>IF(I37&lt;&gt;0,+V37/I37*100,"   ???")</f>
        <v>200.66666666666669</v>
      </c>
      <c r="X37"/>
    </row>
    <row r="38" spans="1:24" ht="15">
      <c r="A38" s="848" t="s">
        <v>590</v>
      </c>
      <c r="B38" s="849" t="s">
        <v>591</v>
      </c>
      <c r="C38" s="850">
        <v>0</v>
      </c>
      <c r="D38" s="850">
        <v>0</v>
      </c>
      <c r="E38" s="896">
        <v>604</v>
      </c>
      <c r="F38" s="945">
        <v>39</v>
      </c>
      <c r="G38" s="897">
        <v>37</v>
      </c>
      <c r="H38" s="897">
        <v>29</v>
      </c>
      <c r="I38" s="898">
        <v>50</v>
      </c>
      <c r="J38" s="899">
        <v>7</v>
      </c>
      <c r="K38" s="845">
        <v>12</v>
      </c>
      <c r="L38" s="845">
        <v>1</v>
      </c>
      <c r="M38" s="845">
        <v>1</v>
      </c>
      <c r="N38" s="845">
        <v>6</v>
      </c>
      <c r="O38" s="845">
        <v>0</v>
      </c>
      <c r="P38" s="845">
        <v>0</v>
      </c>
      <c r="Q38" s="845">
        <v>12</v>
      </c>
      <c r="R38" s="845">
        <v>18</v>
      </c>
      <c r="S38" s="845">
        <v>6</v>
      </c>
      <c r="T38" s="845"/>
      <c r="U38" s="840"/>
      <c r="V38" s="901">
        <f t="shared" si="0"/>
        <v>63</v>
      </c>
      <c r="W38" s="902">
        <f>IF(I38&lt;&gt;0,+V38/I38*100,"   ???")</f>
        <v>126</v>
      </c>
      <c r="X38"/>
    </row>
    <row r="39" spans="1:24" ht="15">
      <c r="A39" s="848" t="s">
        <v>592</v>
      </c>
      <c r="B39" s="849" t="s">
        <v>593</v>
      </c>
      <c r="C39" s="850">
        <v>12472</v>
      </c>
      <c r="D39" s="850">
        <v>13728</v>
      </c>
      <c r="E39" s="896" t="s">
        <v>594</v>
      </c>
      <c r="F39" s="945">
        <v>9399</v>
      </c>
      <c r="G39" s="897">
        <v>13770</v>
      </c>
      <c r="H39" s="897">
        <v>6257</v>
      </c>
      <c r="I39" s="898">
        <v>6850</v>
      </c>
      <c r="J39" s="946">
        <v>570</v>
      </c>
      <c r="K39" s="845">
        <v>570</v>
      </c>
      <c r="L39" s="845">
        <v>570</v>
      </c>
      <c r="M39" s="845">
        <v>570</v>
      </c>
      <c r="N39" s="845">
        <v>743</v>
      </c>
      <c r="O39" s="845">
        <v>570</v>
      </c>
      <c r="P39" s="845">
        <v>275</v>
      </c>
      <c r="Q39" s="845">
        <v>570</v>
      </c>
      <c r="R39" s="845">
        <v>570</v>
      </c>
      <c r="S39" s="845">
        <v>570</v>
      </c>
      <c r="T39" s="845"/>
      <c r="U39" s="840"/>
      <c r="V39" s="901">
        <f t="shared" si="0"/>
        <v>5578</v>
      </c>
      <c r="W39" s="902">
        <f>IF(I39&lt;&gt;0,+V39/I39*100,"   ???")</f>
        <v>81.43065693430657</v>
      </c>
      <c r="X39"/>
    </row>
    <row r="40" spans="1:24" ht="15.75" thickBot="1">
      <c r="A40" s="812" t="s">
        <v>595</v>
      </c>
      <c r="B40" s="855"/>
      <c r="C40" s="856">
        <v>12330</v>
      </c>
      <c r="D40" s="856">
        <v>13218</v>
      </c>
      <c r="E40" s="921" t="s">
        <v>596</v>
      </c>
      <c r="F40" s="947">
        <v>286</v>
      </c>
      <c r="G40" s="922">
        <v>753</v>
      </c>
      <c r="H40" s="922">
        <v>329</v>
      </c>
      <c r="I40" s="948">
        <v>300</v>
      </c>
      <c r="J40" s="949">
        <v>10</v>
      </c>
      <c r="K40" s="863">
        <v>0</v>
      </c>
      <c r="L40" s="863">
        <v>4</v>
      </c>
      <c r="M40" s="863">
        <v>1</v>
      </c>
      <c r="N40" s="863">
        <v>4</v>
      </c>
      <c r="O40" s="863">
        <v>5</v>
      </c>
      <c r="P40" s="863">
        <v>73</v>
      </c>
      <c r="Q40" s="863">
        <v>1</v>
      </c>
      <c r="R40" s="863">
        <v>19</v>
      </c>
      <c r="S40" s="863">
        <v>15</v>
      </c>
      <c r="T40" s="863"/>
      <c r="U40" s="864"/>
      <c r="V40" s="901">
        <f t="shared" si="0"/>
        <v>132</v>
      </c>
      <c r="W40" s="930">
        <f>IF(I40&lt;&gt;0,+V40/I40*100,"   ???")</f>
        <v>44</v>
      </c>
      <c r="X40"/>
    </row>
    <row r="41" spans="1:24" ht="15.75" thickBot="1">
      <c r="A41" s="931" t="s">
        <v>597</v>
      </c>
      <c r="B41" s="932" t="s">
        <v>598</v>
      </c>
      <c r="C41" s="933">
        <f>SUM(C36:C40)</f>
        <v>25992</v>
      </c>
      <c r="D41" s="933">
        <f>SUM(D36:D40)</f>
        <v>28803</v>
      </c>
      <c r="E41" s="934" t="s">
        <v>530</v>
      </c>
      <c r="F41" s="950">
        <v>9958</v>
      </c>
      <c r="G41" s="935">
        <v>14687</v>
      </c>
      <c r="H41" s="935">
        <v>6784</v>
      </c>
      <c r="I41" s="951">
        <v>7350</v>
      </c>
      <c r="J41" s="939">
        <f>SUM(J36:J40)</f>
        <v>604</v>
      </c>
      <c r="K41" s="939">
        <f>SUM(K36:K40)</f>
        <v>589</v>
      </c>
      <c r="L41" s="940">
        <f aca="true" t="shared" si="3" ref="L41:V41">SUM(L36:L40)</f>
        <v>578</v>
      </c>
      <c r="M41" s="940">
        <f t="shared" si="3"/>
        <v>574</v>
      </c>
      <c r="N41" s="939">
        <f t="shared" si="3"/>
        <v>765</v>
      </c>
      <c r="O41" s="939">
        <f t="shared" si="3"/>
        <v>595</v>
      </c>
      <c r="P41" s="939">
        <f t="shared" si="3"/>
        <v>480</v>
      </c>
      <c r="Q41" s="939">
        <f t="shared" si="3"/>
        <v>618</v>
      </c>
      <c r="R41" s="939">
        <f t="shared" si="3"/>
        <v>665</v>
      </c>
      <c r="S41" s="939">
        <f t="shared" si="3"/>
        <v>606</v>
      </c>
      <c r="T41" s="939">
        <f t="shared" si="3"/>
        <v>0</v>
      </c>
      <c r="U41" s="939">
        <f t="shared" si="3"/>
        <v>0</v>
      </c>
      <c r="V41" s="941">
        <f t="shared" si="3"/>
        <v>6074</v>
      </c>
      <c r="W41" s="942">
        <f>IF(I41&lt;&gt;0,+V41/I41*100,"   ???")</f>
        <v>82.63945578231292</v>
      </c>
      <c r="X41"/>
    </row>
    <row r="42" spans="1:24" ht="6.75" customHeight="1" thickBot="1">
      <c r="A42" s="812"/>
      <c r="B42" s="952"/>
      <c r="C42" s="953"/>
      <c r="D42" s="953"/>
      <c r="E42" s="954"/>
      <c r="F42" s="955"/>
      <c r="G42" s="956"/>
      <c r="H42" s="956"/>
      <c r="I42" s="957"/>
      <c r="J42" s="576"/>
      <c r="K42" s="958"/>
      <c r="L42" s="959"/>
      <c r="M42" s="959"/>
      <c r="N42" s="958"/>
      <c r="O42" s="958"/>
      <c r="P42" s="958"/>
      <c r="Q42" s="958"/>
      <c r="R42" s="958"/>
      <c r="S42" s="958"/>
      <c r="T42" s="958"/>
      <c r="U42" s="646"/>
      <c r="V42" s="960"/>
      <c r="W42" s="961"/>
      <c r="X42"/>
    </row>
    <row r="43" spans="1:24" ht="15.75" thickBot="1">
      <c r="A43" s="962" t="s">
        <v>599</v>
      </c>
      <c r="B43" s="932" t="s">
        <v>561</v>
      </c>
      <c r="C43" s="933">
        <f>+C41-C39</f>
        <v>13520</v>
      </c>
      <c r="D43" s="933">
        <f>+D41-D39</f>
        <v>15075</v>
      </c>
      <c r="E43" s="934" t="s">
        <v>530</v>
      </c>
      <c r="F43" s="950">
        <v>542</v>
      </c>
      <c r="G43" s="935">
        <v>917</v>
      </c>
      <c r="H43" s="935">
        <v>527</v>
      </c>
      <c r="I43" s="937">
        <v>540</v>
      </c>
      <c r="J43" s="938">
        <v>34</v>
      </c>
      <c r="K43" s="939">
        <v>19</v>
      </c>
      <c r="L43" s="939">
        <f aca="true" t="shared" si="4" ref="L43:U43">+L41-L39</f>
        <v>8</v>
      </c>
      <c r="M43" s="939">
        <f t="shared" si="4"/>
        <v>4</v>
      </c>
      <c r="N43" s="939">
        <f t="shared" si="4"/>
        <v>22</v>
      </c>
      <c r="O43" s="939">
        <f t="shared" si="4"/>
        <v>25</v>
      </c>
      <c r="P43" s="939">
        <f t="shared" si="4"/>
        <v>205</v>
      </c>
      <c r="Q43" s="939">
        <f t="shared" si="4"/>
        <v>48</v>
      </c>
      <c r="R43" s="939">
        <f t="shared" si="4"/>
        <v>95</v>
      </c>
      <c r="S43" s="939">
        <f t="shared" si="4"/>
        <v>36</v>
      </c>
      <c r="T43" s="939">
        <f t="shared" si="4"/>
        <v>0</v>
      </c>
      <c r="U43" s="939">
        <f t="shared" si="4"/>
        <v>0</v>
      </c>
      <c r="V43" s="933">
        <f>SUM(J43:U43)</f>
        <v>496</v>
      </c>
      <c r="W43" s="942">
        <f>IF(I43&lt;&gt;0,+V43/I43*100,"   ???")</f>
        <v>91.85185185185185</v>
      </c>
      <c r="X43"/>
    </row>
    <row r="44" spans="1:24" ht="15.75" thickBot="1">
      <c r="A44" s="931" t="s">
        <v>600</v>
      </c>
      <c r="B44" s="932" t="s">
        <v>601</v>
      </c>
      <c r="C44" s="933">
        <f>+C41-C35</f>
        <v>93</v>
      </c>
      <c r="D44" s="933">
        <f>+D41-D35</f>
        <v>-465</v>
      </c>
      <c r="E44" s="934" t="s">
        <v>530</v>
      </c>
      <c r="F44" s="950">
        <v>48</v>
      </c>
      <c r="G44" s="935">
        <v>2</v>
      </c>
      <c r="H44" s="935">
        <v>47</v>
      </c>
      <c r="I44" s="937">
        <v>1</v>
      </c>
      <c r="J44" s="938">
        <v>164</v>
      </c>
      <c r="K44" s="939">
        <v>163</v>
      </c>
      <c r="L44" s="939">
        <v>-200</v>
      </c>
      <c r="M44" s="939">
        <f aca="true" t="shared" si="5" ref="M44:U44">+M41-M35</f>
        <v>-145</v>
      </c>
      <c r="N44" s="939">
        <f t="shared" si="5"/>
        <v>184</v>
      </c>
      <c r="O44" s="939">
        <f t="shared" si="5"/>
        <v>33</v>
      </c>
      <c r="P44" s="939">
        <f t="shared" si="5"/>
        <v>-347</v>
      </c>
      <c r="Q44" s="939">
        <f t="shared" si="5"/>
        <v>-50</v>
      </c>
      <c r="R44" s="939">
        <f t="shared" si="5"/>
        <v>281</v>
      </c>
      <c r="S44" s="939">
        <f t="shared" si="5"/>
        <v>34</v>
      </c>
      <c r="T44" s="939">
        <f t="shared" si="5"/>
        <v>0</v>
      </c>
      <c r="U44" s="963">
        <f t="shared" si="5"/>
        <v>0</v>
      </c>
      <c r="V44" s="933">
        <f>SUM(J44:U44)</f>
        <v>117</v>
      </c>
      <c r="W44" s="942">
        <f>IF(I44&lt;&gt;0,+V44/I44*100,"   ???")</f>
        <v>11700</v>
      </c>
      <c r="X44"/>
    </row>
    <row r="45" spans="1:24" ht="15.75" thickBot="1">
      <c r="A45" s="964" t="s">
        <v>602</v>
      </c>
      <c r="B45" s="965" t="s">
        <v>561</v>
      </c>
      <c r="C45" s="966">
        <f>+C44-C39</f>
        <v>-12379</v>
      </c>
      <c r="D45" s="966">
        <f>+D44-D39</f>
        <v>-14193</v>
      </c>
      <c r="E45" s="967" t="s">
        <v>530</v>
      </c>
      <c r="F45" s="968">
        <v>-9364</v>
      </c>
      <c r="G45" s="969">
        <v>-13768</v>
      </c>
      <c r="H45" s="969">
        <v>-6210</v>
      </c>
      <c r="I45" s="937">
        <v>-8556</v>
      </c>
      <c r="J45" s="938">
        <v>-405</v>
      </c>
      <c r="K45" s="939">
        <v>-408</v>
      </c>
      <c r="L45" s="939">
        <f aca="true" t="shared" si="6" ref="L45:U45">+L44-L39</f>
        <v>-770</v>
      </c>
      <c r="M45" s="939">
        <f t="shared" si="6"/>
        <v>-715</v>
      </c>
      <c r="N45" s="939">
        <f t="shared" si="6"/>
        <v>-559</v>
      </c>
      <c r="O45" s="939">
        <f t="shared" si="6"/>
        <v>-537</v>
      </c>
      <c r="P45" s="939">
        <f t="shared" si="6"/>
        <v>-622</v>
      </c>
      <c r="Q45" s="939">
        <f t="shared" si="6"/>
        <v>-620</v>
      </c>
      <c r="R45" s="939">
        <f t="shared" si="6"/>
        <v>-289</v>
      </c>
      <c r="S45" s="939">
        <f t="shared" si="6"/>
        <v>-536</v>
      </c>
      <c r="T45" s="939">
        <f t="shared" si="6"/>
        <v>0</v>
      </c>
      <c r="U45" s="939">
        <f t="shared" si="6"/>
        <v>0</v>
      </c>
      <c r="V45" s="933">
        <f>SUM(J45:U45)</f>
        <v>-5461</v>
      </c>
      <c r="W45" s="942">
        <f>IF(I45&lt;&gt;0,+V45/I45*100,"   ???")</f>
        <v>63.826554464703136</v>
      </c>
      <c r="X45"/>
    </row>
    <row r="47" ht="14.25" customHeight="1">
      <c r="A47" s="970"/>
    </row>
  </sheetData>
  <sheetProtection/>
  <printOptions/>
  <pageMargins left="0.9055118110236221" right="0.3149606299212598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2013-11-22T10:22:46Z</cp:lastPrinted>
  <dcterms:created xsi:type="dcterms:W3CDTF">2013-11-15T15:11:36Z</dcterms:created>
  <dcterms:modified xsi:type="dcterms:W3CDTF">2013-11-22T10:23:04Z</dcterms:modified>
  <cp:category/>
  <cp:version/>
  <cp:contentType/>
  <cp:contentStatus/>
</cp:coreProperties>
</file>