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12_2013" sheetId="1" r:id="rId1"/>
    <sheet name="P + V podle seskupení" sheetId="2" r:id="rId2"/>
    <sheet name="Město_příjmy" sheetId="3" r:id="rId3"/>
    <sheet name="Město_výdaje " sheetId="4" r:id="rId4"/>
  </sheets>
  <definedNames/>
  <calcPr fullCalcOnLoad="1"/>
</workbook>
</file>

<file path=xl/sharedStrings.xml><?xml version="1.0" encoding="utf-8"?>
<sst xmlns="http://schemas.openxmlformats.org/spreadsheetml/2006/main" count="873" uniqueCount="549">
  <si>
    <t>Kraj: Jihomoravský</t>
  </si>
  <si>
    <t>Okres: Břeclav</t>
  </si>
  <si>
    <t>Město: Břeclav</t>
  </si>
  <si>
    <t xml:space="preserve">                    Tabulka doplňujících ukazatelů za období 12/2013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</si>
  <si>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</si>
  <si>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</si>
  <si>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</si>
  <si>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</si>
  <si>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</si>
  <si>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</si>
  <si>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</si>
  <si>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</si>
  <si>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</si>
  <si>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</si>
  <si>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</si>
  <si>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</si>
  <si>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</si>
  <si>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</si>
  <si>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</si>
  <si>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</si>
  <si>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</si>
  <si>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</si>
  <si>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</si>
  <si>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</si>
  <si>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Přehled vybraných příjmů a výdajů za 12/2013</t>
  </si>
  <si>
    <t>mil. Kč</t>
  </si>
  <si>
    <t>Rozpočet</t>
  </si>
  <si>
    <t>Index</t>
  </si>
  <si>
    <t>schválený</t>
  </si>
  <si>
    <t>upravený</t>
  </si>
  <si>
    <t>1-12/2013</t>
  </si>
  <si>
    <t>plnění</t>
  </si>
  <si>
    <t>Daňové příjmy</t>
  </si>
  <si>
    <t>v tom: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</si>
  <si>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</si>
  <si>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</si>
  <si>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</si>
  <si>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</si>
  <si>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</si>
  <si>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</si>
  <si>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Daň z nemovitostí</t>
  </si>
  <si>
    <t>Poplatek za provoz, shrom. a odstr. kom. odpadu</t>
  </si>
  <si>
    <t xml:space="preserve">Odvod výtěžku z provozování loterií  aj. podob. her </t>
  </si>
  <si>
    <t>Správní poplatky</t>
  </si>
  <si>
    <t>Nedaňové příjmy</t>
  </si>
  <si>
    <t xml:space="preserve">Příjmy z poskytování služeb a výrobků </t>
  </si>
  <si>
    <t>Příjmy z pronájmu majetku</t>
  </si>
  <si>
    <t>Sankční platby přijaté od jiných subjektů</t>
  </si>
  <si>
    <t>Příjmy z úhrad vydobývaných prostor</t>
  </si>
  <si>
    <t>Kapitálové příjmy</t>
  </si>
  <si>
    <t>Příjmy z prodeje dlouhodobého majetku</t>
  </si>
  <si>
    <t>Příjmy z dlouhodobého majetku</t>
  </si>
  <si>
    <t>Přijaté dotace</t>
  </si>
  <si>
    <t>PŘÍJMY CELKEM</t>
  </si>
  <si>
    <t>Běžné výdaje</t>
  </si>
  <si>
    <t>Platy včetně odvodů pojistného</t>
  </si>
  <si>
    <t>Nákup materiálu</t>
  </si>
  <si>
    <t>Energie (voda, teplo, plyn, el. energie, PHM)</t>
  </si>
  <si>
    <t>Služby</t>
  </si>
  <si>
    <t>Opravy a udržování</t>
  </si>
  <si>
    <t>Transfery příspěvkových organizacím</t>
  </si>
  <si>
    <t>Kapitálové výdaje</t>
  </si>
  <si>
    <t>Budovy, haly a stavby</t>
  </si>
  <si>
    <t>Pozemky</t>
  </si>
  <si>
    <t>Dopravní prostředky (hasičské vozidlo, MP)</t>
  </si>
  <si>
    <t>VÝDAJE CELKEM</t>
  </si>
  <si>
    <t>VÝSLEDEK HOSPODAŘENÍ - saldo</t>
  </si>
  <si>
    <t>Stav peněžních prostředků na účtech a ve fondech</t>
  </si>
  <si>
    <t>Zůstatek bankovních úvěrů</t>
  </si>
  <si>
    <t xml:space="preserve">Reálné úspory a převody finančních prostředků na nedokončené akce budou předloženy po vyčíslení. </t>
  </si>
  <si>
    <t xml:space="preserve">Na rok 2014 se plánuje schodek 45 mil. Kč, který bude navýšený o převody peněz na nedokončené </t>
  </si>
  <si>
    <t>akce roku 2013.</t>
  </si>
  <si>
    <t>V Břeclavi dne 28. 1. 2014</t>
  </si>
  <si>
    <t>Zpracovala: Helena Slatinská</t>
  </si>
  <si>
    <t>ROZPOČET PŘÍJMŮ NA ROK 2013</t>
  </si>
  <si>
    <t>tis. Kč</t>
  </si>
  <si>
    <t>ORJ</t>
  </si>
  <si>
    <t>Paragraf</t>
  </si>
  <si>
    <t>Položka</t>
  </si>
  <si>
    <t>Text</t>
  </si>
  <si>
    <t>%</t>
  </si>
  <si>
    <t>ODBOR ŠKOLSTVÍ, KULT., MLÁDEŽE A SPORTU</t>
  </si>
  <si>
    <t xml:space="preserve">Místní poplatek ze vstupného 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</si>
  <si>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</si>
  <si>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</si>
  <si>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</si>
  <si>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</si>
  <si>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</si>
  <si>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</si>
  <si>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</si>
  <si>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</si>
  <si>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</si>
  <si>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</si>
  <si>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</si>
  <si>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</si>
  <si>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</si>
  <si>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</si>
  <si>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</si>
  <si>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</si>
  <si>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</si>
  <si>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</si>
  <si>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</si>
  <si>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</si>
  <si>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</si>
  <si>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</si>
  <si>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</si>
  <si>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</si>
  <si>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</si>
  <si>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</si>
  <si>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</si>
  <si>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</si>
  <si>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</si>
  <si>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</si>
  <si>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</si>
  <si>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</si>
  <si>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</si>
  <si>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</si>
  <si>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</si>
  <si>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</si>
  <si>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</si>
  <si>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</si>
  <si>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</si>
  <si>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</si>
  <si>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</si>
  <si>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</si>
  <si>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</si>
  <si>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</si>
  <si>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</si>
  <si>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</si>
  <si>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</si>
  <si>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</si>
  <si>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</si>
  <si>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</si>
  <si>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</si>
  <si>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SF-kompostéry,revit. Podzámčí,Rytopeky,Včelínek</t>
  </si>
  <si>
    <t>Ost. neinv. přij. transfery ze SR - prevence kriminality</t>
  </si>
  <si>
    <t>Ostat. neinv. přij. transfery ze SR a ESF - aktiv. politika zaměst.</t>
  </si>
  <si>
    <t>Ost. neinv. přij. transf. SR-kompostéry,revit.Podzámčí,Rytopeky,Včelínek</t>
  </si>
  <si>
    <t>Neinv. řpij. transf. od krajů-Udržování čistoty cyklistických komunikací</t>
  </si>
  <si>
    <t>Neinv. přij. transf. od krajů -Zdravé municipality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</si>
  <si>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</si>
  <si>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</si>
  <si>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</si>
  <si>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Břeclav bez bariér-I. etapa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</si>
  <si>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</si>
  <si>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</si>
  <si>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</si>
  <si>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Inv. přij. transfery ze stát. fondů - Břeclav bez bariér II. etapa</t>
  </si>
  <si>
    <t>Inv. přij. transfery ze stát. fondů - ZŠ J. Noháče-zateplení, otvor. výplně</t>
  </si>
  <si>
    <t>Inv. přij. transfery ze stát. fondů - MŠ Osvobození, zateplení, otvor. výplně</t>
  </si>
  <si>
    <t>Ostat. investič. přij. transf. ze SR-MěÚ Břeclav</t>
  </si>
  <si>
    <t>Ostat. investič. přij. transf. ze SR-Domov seniorů Břeclav</t>
  </si>
  <si>
    <t>Ostat. investič. přij. transfery ze SR a SF- Azylový dům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</si>
  <si>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</si>
  <si>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</si>
  <si>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</si>
  <si>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</si>
  <si>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</si>
  <si>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 - Prevence kriminality-investice</t>
  </si>
  <si>
    <t>Ostat. investič. přij. transf. ze SR - ZŠ J. Noháče- zateplení, otvor. výplně</t>
  </si>
  <si>
    <t>Ostat. investič. přij. transf. ze SR-MŠ Osvobození-zateplení, otvor. výplně</t>
  </si>
  <si>
    <t>Ostat. investič. přij. transf. ze SR-Regenerace panel. sídl. Slovácká, II.et.</t>
  </si>
  <si>
    <t>Ostat. investič. přij. transf. ze SR-Přírodní zahrada MŠ U Splavu</t>
  </si>
  <si>
    <t>Investič. přij. transf. od krajů - Family point - Budovatelská</t>
  </si>
  <si>
    <t>Investič. přij. transf. od krajů - Dětské dopravní hřiště 1. etapa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</si>
  <si>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</si>
  <si>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</si>
  <si>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</si>
  <si>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</si>
  <si>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</si>
  <si>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</si>
  <si>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</si>
  <si>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</si>
  <si>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</si>
  <si>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</si>
  <si>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</si>
  <si>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</si>
  <si>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</si>
  <si>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</si>
  <si>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</si>
  <si>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</si>
  <si>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</si>
  <si>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</si>
  <si>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</si>
  <si>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</si>
  <si>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</si>
  <si>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</si>
  <si>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Parlamentu ČR</t>
  </si>
  <si>
    <t>Neinvestič. přij. transf. ze SR - 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</si>
  <si>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</si>
  <si>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</si>
  <si>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</si>
  <si>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</si>
  <si>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</si>
  <si>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</si>
  <si>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Neinvestič. přij. transfery ze SR - Good Governance na MěÚ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</si>
  <si>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</si>
  <si>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</si>
  <si>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</si>
  <si>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</si>
  <si>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</si>
  <si>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</si>
  <si>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</si>
  <si>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</si>
  <si>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</si>
  <si>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</si>
  <si>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</si>
  <si>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</si>
  <si>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</si>
  <si>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</si>
  <si>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</si>
  <si>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</si>
  <si>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</si>
  <si>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</si>
  <si>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</si>
  <si>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</si>
  <si>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</si>
  <si>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</si>
  <si>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</si>
  <si>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</si>
  <si>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</si>
  <si>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</si>
  <si>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</si>
  <si>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</si>
  <si>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</si>
  <si>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</si>
  <si>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</si>
  <si>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</si>
  <si>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</si>
  <si>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</si>
  <si>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</si>
  <si>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</si>
  <si>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</si>
  <si>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</si>
  <si>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</si>
  <si>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</si>
  <si>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</si>
  <si>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</si>
  <si>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</si>
  <si>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</si>
  <si>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krajů-EVVO-MŠ Břeclav,Hřbitovní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</si>
  <si>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</si>
  <si>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</si>
  <si>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</si>
  <si>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</si>
  <si>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</si>
  <si>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</si>
  <si>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</si>
  <si>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</si>
  <si>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</si>
  <si>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</si>
  <si>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</si>
  <si>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</si>
  <si>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</si>
  <si>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</si>
  <si>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</si>
  <si>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</si>
  <si>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</si>
  <si>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</si>
  <si>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</si>
  <si>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</si>
  <si>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</si>
  <si>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</si>
  <si>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</si>
  <si>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</si>
  <si>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</si>
  <si>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</si>
  <si>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</si>
  <si>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</si>
  <si>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</si>
  <si>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</si>
  <si>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</si>
  <si>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</si>
  <si>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</si>
  <si>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</si>
  <si>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</si>
  <si>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</si>
  <si>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</si>
  <si>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</si>
  <si>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</si>
  <si>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</si>
  <si>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</si>
  <si>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</si>
  <si>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</si>
  <si>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</si>
  <si>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</si>
  <si>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</si>
  <si>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</si>
  <si>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</si>
  <si>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</si>
  <si>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</si>
  <si>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</si>
  <si>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</si>
  <si>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</si>
  <si>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</si>
  <si>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</si>
  <si>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</si>
  <si>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</si>
  <si>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</si>
  <si>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</si>
  <si>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</si>
  <si>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</si>
  <si>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</si>
  <si>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</si>
  <si>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</si>
  <si>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</si>
  <si>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</si>
  <si>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</si>
  <si>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</si>
  <si>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</si>
  <si>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</si>
  <si>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</si>
  <si>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</si>
  <si>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</si>
  <si>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</si>
  <si>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</si>
  <si>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</si>
  <si>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</si>
  <si>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</si>
  <si>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</si>
  <si>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</si>
  <si>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</si>
  <si>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</si>
  <si>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</si>
  <si>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</si>
  <si>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</si>
  <si>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</si>
  <si>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</si>
  <si>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</si>
  <si>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</si>
  <si>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</si>
  <si>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</si>
  <si>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</si>
  <si>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</si>
  <si>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</si>
  <si>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</si>
  <si>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</si>
  <si>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</si>
  <si>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</si>
  <si>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</si>
  <si>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</si>
  <si>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</si>
  <si>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</si>
  <si>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</si>
  <si>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</si>
  <si>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</si>
  <si>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</si>
  <si>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</si>
  <si>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</si>
  <si>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</si>
  <si>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</si>
  <si>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</si>
  <si>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</si>
  <si>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</si>
  <si>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</si>
  <si>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</si>
  <si>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</si>
  <si>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</si>
  <si>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</si>
  <si>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</si>
  <si>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</si>
  <si>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</si>
  <si>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</si>
  <si>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</si>
  <si>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</si>
  <si>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</si>
  <si>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</si>
  <si>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</si>
  <si>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</si>
  <si>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</si>
  <si>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</si>
  <si>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</si>
  <si>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</si>
  <si>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</si>
  <si>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</si>
  <si>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</si>
  <si>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</si>
  <si>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</si>
  <si>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</si>
  <si>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</si>
  <si>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</si>
  <si>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</si>
  <si>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</si>
  <si>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</si>
  <si>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</si>
  <si>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</si>
  <si>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</si>
  <si>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</si>
  <si>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</si>
  <si>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</si>
  <si>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</si>
  <si>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</si>
  <si>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</si>
  <si>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</si>
  <si>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</si>
  <si>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</si>
  <si>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</si>
  <si>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</si>
  <si>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</si>
  <si>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</si>
  <si>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</si>
  <si>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</si>
  <si>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</si>
  <si>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</si>
  <si>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</si>
  <si>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</si>
  <si>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</si>
  <si>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</si>
  <si>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</si>
  <si>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</si>
  <si>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</si>
  <si>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</si>
  <si>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</si>
  <si>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</si>
  <si>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</si>
  <si>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</si>
  <si>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</si>
  <si>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</si>
  <si>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</si>
  <si>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</si>
  <si>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</si>
  <si>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</si>
  <si>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</si>
  <si>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</si>
  <si>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Činnost muzeí a galerií - v 7/2013 převod rozpočtu 295 tis. na 010 OŠKMS</t>
  </si>
  <si>
    <t>Mezisoučet</t>
  </si>
  <si>
    <t>Kupkova-komunikace a chod. s odvodněním</t>
  </si>
  <si>
    <t>Pisníky-vozovka a chodníky</t>
  </si>
  <si>
    <t>Hájky-Habrova seč-přístupová komunikace</t>
  </si>
  <si>
    <t>Komunikace Fibichova</t>
  </si>
  <si>
    <t>Nákup zametacího stroje</t>
  </si>
  <si>
    <t>Cyklostezka Cukrovar-Poštorná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</si>
  <si>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</si>
  <si>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</si>
  <si>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</si>
  <si>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</si>
  <si>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</si>
  <si>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</si>
  <si>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</si>
  <si>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</si>
  <si>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</si>
  <si>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Regenerace panel. sídl. Slovácká II. etapa</t>
  </si>
  <si>
    <t>IPRM Valtická-kamerový systém</t>
  </si>
  <si>
    <t>Integr. přestupní terminál IDS JMK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</si>
  <si>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</si>
  <si>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</si>
  <si>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</si>
  <si>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</si>
  <si>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MŠ Osvobození-zateplení, otvor. výplně</t>
  </si>
  <si>
    <t>MŠ Okružní-stav.úpravy, zateplení</t>
  </si>
  <si>
    <t>MŠ U Splavu - přírodní zahrada</t>
  </si>
  <si>
    <t>ZŠ Kupkova - zateplení</t>
  </si>
  <si>
    <t>ZŠ J. Noháče - zateplení, vým. otvor. výplní</t>
  </si>
  <si>
    <t xml:space="preserve">Kino Koruna - vzduchotechnika </t>
  </si>
  <si>
    <t>Skatepark Na Valtické</t>
  </si>
  <si>
    <t>Dětské dopravní hřiště - 1. etapa</t>
  </si>
  <si>
    <t>Rek. obj. Kupkova-zázemí tech. služeb</t>
  </si>
  <si>
    <t>Bezbariérový přístup Dům školství</t>
  </si>
  <si>
    <t>Smuteční obřadní síně-projektová dokumentace</t>
  </si>
  <si>
    <t>IOP-územní plán</t>
  </si>
  <si>
    <t>Využívání a zneškodňování ost. odpadů-Třídění bioodpadu-kompostéry I.et.</t>
  </si>
  <si>
    <t>Podpora proj. Family Point-místo k setkání rodin-Budovatelská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</si>
  <si>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</si>
  <si>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</si>
  <si>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</si>
  <si>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Udržování čistoty cyklistických komunikací</t>
  </si>
  <si>
    <t>Prevence kriminality - Zabezpečení sociál. vyloučené lokality</t>
  </si>
  <si>
    <t>Prev. kriminality-Bezpeč. Břeclav-Měst. kamer. dohlížecí systém</t>
  </si>
  <si>
    <t>Prev. kriminality-Bezpeč. Břeclav-Měst. kamer. dohlíž. systém-přístroje,zař.</t>
  </si>
  <si>
    <t>Domov seniorů  Břeclav - osazení termostatických ventilů</t>
  </si>
  <si>
    <t>Domov seniorů Břeclav - bezbariérový vstup</t>
  </si>
  <si>
    <t>Azylový dům</t>
  </si>
  <si>
    <t>Vnitřní správa - MěÚ rek. sociálního zařízení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</si>
  <si>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</si>
  <si>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</si>
  <si>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</si>
  <si>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</si>
  <si>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</si>
  <si>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</si>
  <si>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</si>
  <si>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</si>
  <si>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</si>
  <si>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</si>
  <si>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</si>
  <si>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</si>
  <si>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</si>
  <si>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</si>
  <si>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</si>
  <si>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</si>
  <si>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</si>
  <si>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</si>
  <si>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</si>
  <si>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</si>
  <si>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</si>
  <si>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</si>
  <si>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</si>
  <si>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</si>
  <si>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</si>
  <si>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</si>
  <si>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</si>
  <si>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příspěvek neinv. + inv. (481 tis.)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</si>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</sst>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E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6" fillId="0" borderId="0" xfId="46" applyFont="1" applyFill="1" applyBorder="1">
      <alignment/>
      <protection/>
    </xf>
    <xf numFmtId="4" fontId="6" fillId="0" borderId="0" xfId="46" applyNumberFormat="1" applyFont="1" applyFill="1" applyBorder="1">
      <alignment/>
      <protection/>
    </xf>
    <xf numFmtId="0" fontId="0" fillId="0" borderId="0" xfId="46" applyFont="1" applyFill="1">
      <alignment/>
      <protection/>
    </xf>
    <xf numFmtId="0" fontId="0" fillId="0" borderId="0" xfId="46" applyFont="1" applyFill="1">
      <alignment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6" fillId="34" borderId="33" xfId="46" applyFont="1" applyFill="1" applyBorder="1" applyAlignment="1">
      <alignment horizontal="center"/>
      <protection/>
    </xf>
    <xf numFmtId="4" fontId="6" fillId="34" borderId="34" xfId="46" applyNumberFormat="1" applyFont="1" applyFill="1" applyBorder="1" applyAlignment="1">
      <alignment horizontal="center"/>
      <protection/>
    </xf>
    <xf numFmtId="4" fontId="6" fillId="34" borderId="11" xfId="46" applyNumberFormat="1" applyFont="1" applyFill="1" applyBorder="1" applyAlignment="1">
      <alignment horizontal="center"/>
      <protection/>
    </xf>
    <xf numFmtId="0" fontId="6" fillId="34" borderId="35" xfId="46" applyFont="1" applyFill="1" applyBorder="1">
      <alignment/>
      <protection/>
    </xf>
    <xf numFmtId="4" fontId="6" fillId="34" borderId="36" xfId="46" applyNumberFormat="1" applyFont="1" applyFill="1" applyBorder="1" applyAlignment="1">
      <alignment horizontal="center"/>
      <protection/>
    </xf>
    <xf numFmtId="49" fontId="6" fillId="34" borderId="36" xfId="46" applyNumberFormat="1" applyFont="1" applyFill="1" applyBorder="1" applyAlignment="1">
      <alignment horizontal="center"/>
      <protection/>
    </xf>
    <xf numFmtId="4" fontId="6" fillId="34" borderId="13" xfId="46" applyNumberFormat="1" applyFont="1" applyFill="1" applyBorder="1" applyAlignment="1">
      <alignment horizontal="center"/>
      <protection/>
    </xf>
    <xf numFmtId="0" fontId="6" fillId="0" borderId="20" xfId="46" applyFont="1" applyFill="1" applyBorder="1">
      <alignment/>
      <protection/>
    </xf>
    <xf numFmtId="4" fontId="9" fillId="0" borderId="37" xfId="46" applyNumberFormat="1" applyFont="1" applyFill="1" applyBorder="1">
      <alignment/>
      <protection/>
    </xf>
    <xf numFmtId="4" fontId="9" fillId="35" borderId="37" xfId="46" applyNumberFormat="1" applyFont="1" applyFill="1" applyBorder="1">
      <alignment/>
      <protection/>
    </xf>
    <xf numFmtId="4" fontId="9" fillId="0" borderId="16" xfId="46" applyNumberFormat="1" applyFont="1" applyFill="1" applyBorder="1">
      <alignment/>
      <protection/>
    </xf>
    <xf numFmtId="0" fontId="6" fillId="0" borderId="20" xfId="46" applyFont="1" applyFill="1" applyBorder="1">
      <alignment/>
      <protection/>
    </xf>
    <xf numFmtId="4" fontId="6" fillId="0" borderId="37" xfId="46" applyNumberFormat="1" applyFont="1" applyFill="1" applyBorder="1">
      <alignment/>
      <protection/>
    </xf>
    <xf numFmtId="4" fontId="6" fillId="35" borderId="37" xfId="46" applyNumberFormat="1" applyFont="1" applyFill="1" applyBorder="1">
      <alignment/>
      <protection/>
    </xf>
    <xf numFmtId="4" fontId="6" fillId="0" borderId="19" xfId="46" applyNumberFormat="1" applyFont="1" applyFill="1" applyBorder="1">
      <alignment/>
      <protection/>
    </xf>
    <xf numFmtId="0" fontId="9" fillId="0" borderId="20" xfId="46" applyFont="1" applyFill="1" applyBorder="1">
      <alignment/>
      <protection/>
    </xf>
    <xf numFmtId="4" fontId="9" fillId="0" borderId="19" xfId="46" applyNumberFormat="1" applyFont="1" applyFill="1" applyBorder="1">
      <alignment/>
      <protection/>
    </xf>
    <xf numFmtId="0" fontId="9" fillId="0" borderId="20" xfId="46" applyFont="1" applyFill="1" applyBorder="1">
      <alignment/>
      <protection/>
    </xf>
    <xf numFmtId="4" fontId="9" fillId="0" borderId="37" xfId="46" applyNumberFormat="1" applyFont="1" applyFill="1" applyBorder="1">
      <alignment/>
      <protection/>
    </xf>
    <xf numFmtId="4" fontId="9" fillId="35" borderId="37" xfId="46" applyNumberFormat="1" applyFont="1" applyFill="1" applyBorder="1">
      <alignment/>
      <protection/>
    </xf>
    <xf numFmtId="4" fontId="12" fillId="0" borderId="37" xfId="46" applyNumberFormat="1" applyFont="1" applyFill="1" applyBorder="1">
      <alignment/>
      <protection/>
    </xf>
    <xf numFmtId="4" fontId="12" fillId="35" borderId="37" xfId="46" applyNumberFormat="1" applyFont="1" applyFill="1" applyBorder="1">
      <alignment/>
      <protection/>
    </xf>
    <xf numFmtId="4" fontId="9" fillId="0" borderId="38" xfId="46" applyNumberFormat="1" applyFont="1" applyFill="1" applyBorder="1">
      <alignment/>
      <protection/>
    </xf>
    <xf numFmtId="4" fontId="9" fillId="35" borderId="38" xfId="46" applyNumberFormat="1" applyFont="1" applyFill="1" applyBorder="1">
      <alignment/>
      <protection/>
    </xf>
    <xf numFmtId="4" fontId="9" fillId="35" borderId="38" xfId="46" applyNumberFormat="1" applyFont="1" applyFill="1" applyBorder="1">
      <alignment/>
      <protection/>
    </xf>
    <xf numFmtId="4" fontId="9" fillId="0" borderId="38" xfId="46" applyNumberFormat="1" applyFont="1" applyFill="1" applyBorder="1">
      <alignment/>
      <protection/>
    </xf>
    <xf numFmtId="4" fontId="6" fillId="0" borderId="38" xfId="46" applyNumberFormat="1" applyFont="1" applyFill="1" applyBorder="1">
      <alignment/>
      <protection/>
    </xf>
    <xf numFmtId="4" fontId="6" fillId="35" borderId="38" xfId="46" applyNumberFormat="1" applyFont="1" applyFill="1" applyBorder="1">
      <alignment/>
      <protection/>
    </xf>
    <xf numFmtId="4" fontId="9" fillId="0" borderId="18" xfId="46" applyNumberFormat="1" applyFont="1" applyFill="1" applyBorder="1">
      <alignment/>
      <protection/>
    </xf>
    <xf numFmtId="4" fontId="9" fillId="35" borderId="18" xfId="46" applyNumberFormat="1" applyFont="1" applyFill="1" applyBorder="1">
      <alignment/>
      <protection/>
    </xf>
    <xf numFmtId="0" fontId="9" fillId="0" borderId="21" xfId="46" applyFont="1" applyFill="1" applyBorder="1">
      <alignment/>
      <protection/>
    </xf>
    <xf numFmtId="4" fontId="6" fillId="0" borderId="39" xfId="46" applyNumberFormat="1" applyFont="1" applyFill="1" applyBorder="1">
      <alignment/>
      <protection/>
    </xf>
    <xf numFmtId="4" fontId="6" fillId="35" borderId="39" xfId="46" applyNumberFormat="1" applyFont="1" applyFill="1" applyBorder="1">
      <alignment/>
      <protection/>
    </xf>
    <xf numFmtId="0" fontId="13" fillId="0" borderId="30" xfId="46" applyFont="1" applyFill="1" applyBorder="1">
      <alignment/>
      <protection/>
    </xf>
    <xf numFmtId="4" fontId="13" fillId="0" borderId="40" xfId="46" applyNumberFormat="1" applyFont="1" applyFill="1" applyBorder="1">
      <alignment/>
      <protection/>
    </xf>
    <xf numFmtId="4" fontId="13" fillId="35" borderId="40" xfId="46" applyNumberFormat="1" applyFont="1" applyFill="1" applyBorder="1">
      <alignment/>
      <protection/>
    </xf>
    <xf numFmtId="4" fontId="13" fillId="0" borderId="41" xfId="46" applyNumberFormat="1" applyFont="1" applyFill="1" applyBorder="1">
      <alignment/>
      <protection/>
    </xf>
    <xf numFmtId="0" fontId="14" fillId="0" borderId="0" xfId="46" applyFont="1" applyFill="1">
      <alignment/>
      <protection/>
    </xf>
    <xf numFmtId="4" fontId="9" fillId="35" borderId="16" xfId="46" applyNumberFormat="1" applyFont="1" applyFill="1" applyBorder="1">
      <alignment/>
      <protection/>
    </xf>
    <xf numFmtId="4" fontId="6" fillId="35" borderId="19" xfId="46" applyNumberFormat="1" applyFont="1" applyFill="1" applyBorder="1">
      <alignment/>
      <protection/>
    </xf>
    <xf numFmtId="4" fontId="9" fillId="35" borderId="19" xfId="46" applyNumberFormat="1" applyFont="1" applyFill="1" applyBorder="1">
      <alignment/>
      <protection/>
    </xf>
    <xf numFmtId="4" fontId="9" fillId="35" borderId="19" xfId="46" applyNumberFormat="1" applyFont="1" applyFill="1" applyBorder="1">
      <alignment/>
      <protection/>
    </xf>
    <xf numFmtId="4" fontId="15" fillId="0" borderId="37" xfId="46" applyNumberFormat="1" applyFont="1" applyFill="1" applyBorder="1">
      <alignment/>
      <protection/>
    </xf>
    <xf numFmtId="4" fontId="15" fillId="35" borderId="37" xfId="46" applyNumberFormat="1" applyFont="1" applyFill="1" applyBorder="1">
      <alignment/>
      <protection/>
    </xf>
    <xf numFmtId="0" fontId="7" fillId="0" borderId="0" xfId="46" applyFont="1" applyFill="1">
      <alignment/>
      <protection/>
    </xf>
    <xf numFmtId="0" fontId="9" fillId="0" borderId="17" xfId="46" applyFont="1" applyFill="1" applyBorder="1">
      <alignment/>
      <protection/>
    </xf>
    <xf numFmtId="4" fontId="15" fillId="0" borderId="42" xfId="46" applyNumberFormat="1" applyFont="1" applyFill="1" applyBorder="1">
      <alignment/>
      <protection/>
    </xf>
    <xf numFmtId="4" fontId="15" fillId="35" borderId="42" xfId="46" applyNumberFormat="1" applyFont="1" applyFill="1" applyBorder="1">
      <alignment/>
      <protection/>
    </xf>
    <xf numFmtId="4" fontId="6" fillId="35" borderId="43" xfId="46" applyNumberFormat="1" applyFont="1" applyFill="1" applyBorder="1">
      <alignment/>
      <protection/>
    </xf>
    <xf numFmtId="0" fontId="9" fillId="0" borderId="17" xfId="46" applyFont="1" applyFill="1" applyBorder="1">
      <alignment/>
      <protection/>
    </xf>
    <xf numFmtId="4" fontId="12" fillId="0" borderId="42" xfId="46" applyNumberFormat="1" applyFont="1" applyFill="1" applyBorder="1">
      <alignment/>
      <protection/>
    </xf>
    <xf numFmtId="4" fontId="12" fillId="35" borderId="38" xfId="46" applyNumberFormat="1" applyFont="1" applyFill="1" applyBorder="1">
      <alignment/>
      <protection/>
    </xf>
    <xf numFmtId="4" fontId="12" fillId="35" borderId="42" xfId="46" applyNumberFormat="1" applyFont="1" applyFill="1" applyBorder="1">
      <alignment/>
      <protection/>
    </xf>
    <xf numFmtId="4" fontId="12" fillId="0" borderId="39" xfId="46" applyNumberFormat="1" applyFont="1" applyFill="1" applyBorder="1">
      <alignment/>
      <protection/>
    </xf>
    <xf numFmtId="4" fontId="12" fillId="35" borderId="39" xfId="46" applyNumberFormat="1" applyFont="1" applyFill="1" applyBorder="1">
      <alignment/>
      <protection/>
    </xf>
    <xf numFmtId="4" fontId="9" fillId="35" borderId="23" xfId="46" applyNumberFormat="1" applyFont="1" applyFill="1" applyBorder="1">
      <alignment/>
      <protection/>
    </xf>
    <xf numFmtId="4" fontId="13" fillId="35" borderId="32" xfId="46" applyNumberFormat="1" applyFont="1" applyFill="1" applyBorder="1">
      <alignment/>
      <protection/>
    </xf>
    <xf numFmtId="0" fontId="13" fillId="0" borderId="44" xfId="46" applyFont="1" applyFill="1" applyBorder="1">
      <alignment/>
      <protection/>
    </xf>
    <xf numFmtId="4" fontId="13" fillId="0" borderId="45" xfId="46" applyNumberFormat="1" applyFont="1" applyFill="1" applyBorder="1">
      <alignment/>
      <protection/>
    </xf>
    <xf numFmtId="4" fontId="13" fillId="35" borderId="45" xfId="46" applyNumberFormat="1" applyFont="1" applyFill="1" applyBorder="1">
      <alignment/>
      <protection/>
    </xf>
    <xf numFmtId="4" fontId="13" fillId="35" borderId="46" xfId="46" applyNumberFormat="1" applyFont="1" applyFill="1" applyBorder="1">
      <alignment/>
      <protection/>
    </xf>
    <xf numFmtId="0" fontId="13" fillId="0" borderId="0" xfId="46" applyFont="1" applyFill="1">
      <alignment/>
      <protection/>
    </xf>
    <xf numFmtId="0" fontId="9" fillId="0" borderId="0" xfId="46" applyFont="1" applyFill="1">
      <alignment/>
      <protection/>
    </xf>
    <xf numFmtId="4" fontId="9" fillId="0" borderId="0" xfId="46" applyNumberFormat="1" applyFont="1" applyFill="1">
      <alignment/>
      <protection/>
    </xf>
    <xf numFmtId="4" fontId="9" fillId="35" borderId="0" xfId="46" applyNumberFormat="1" applyFont="1" applyFill="1">
      <alignment/>
      <protection/>
    </xf>
    <xf numFmtId="0" fontId="13" fillId="0" borderId="47" xfId="46" applyFont="1" applyFill="1" applyBorder="1">
      <alignment/>
      <protection/>
    </xf>
    <xf numFmtId="4" fontId="13" fillId="0" borderId="48" xfId="46" applyNumberFormat="1" applyFont="1" applyFill="1" applyBorder="1">
      <alignment/>
      <protection/>
    </xf>
    <xf numFmtId="4" fontId="13" fillId="35" borderId="48" xfId="46" applyNumberFormat="1" applyFont="1" applyFill="1" applyBorder="1">
      <alignment/>
      <protection/>
    </xf>
    <xf numFmtId="4" fontId="13" fillId="35" borderId="49" xfId="46" applyNumberFormat="1" applyFont="1" applyFill="1" applyBorder="1">
      <alignment/>
      <protection/>
    </xf>
    <xf numFmtId="4" fontId="6" fillId="0" borderId="48" xfId="46" applyNumberFormat="1" applyFont="1" applyFill="1" applyBorder="1">
      <alignment/>
      <protection/>
    </xf>
    <xf numFmtId="4" fontId="6" fillId="35" borderId="48" xfId="46" applyNumberFormat="1" applyFont="1" applyFill="1" applyBorder="1">
      <alignment/>
      <protection/>
    </xf>
    <xf numFmtId="4" fontId="6" fillId="35" borderId="49" xfId="46" applyNumberFormat="1" applyFont="1" applyFill="1" applyBorder="1">
      <alignment/>
      <protection/>
    </xf>
    <xf numFmtId="0" fontId="14" fillId="0" borderId="0" xfId="46" applyFont="1" applyFill="1">
      <alignment/>
      <protection/>
    </xf>
    <xf numFmtId="4" fontId="14" fillId="0" borderId="0" xfId="46" applyNumberFormat="1" applyFont="1" applyFill="1">
      <alignment/>
      <protection/>
    </xf>
    <xf numFmtId="0" fontId="0" fillId="0" borderId="0" xfId="46" applyFill="1">
      <alignment/>
      <protection/>
    </xf>
    <xf numFmtId="4" fontId="0" fillId="0" borderId="0" xfId="46" applyNumberFormat="1" applyFont="1" applyFill="1">
      <alignment/>
      <protection/>
    </xf>
    <xf numFmtId="0" fontId="9" fillId="0" borderId="0" xfId="46" applyFont="1" applyFill="1">
      <alignment/>
      <protection/>
    </xf>
    <xf numFmtId="0" fontId="1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50" xfId="0" applyFont="1" applyFill="1" applyBorder="1" applyAlignment="1">
      <alignment/>
    </xf>
    <xf numFmtId="4" fontId="9" fillId="0" borderId="50" xfId="0" applyNumberFormat="1" applyFont="1" applyFill="1" applyBorder="1" applyAlignment="1">
      <alignment/>
    </xf>
    <xf numFmtId="4" fontId="9" fillId="0" borderId="5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38" xfId="46" applyFont="1" applyFill="1" applyBorder="1" applyAlignment="1">
      <alignment horizontal="left"/>
      <protection/>
    </xf>
    <xf numFmtId="0" fontId="9" fillId="0" borderId="38" xfId="46" applyFont="1" applyFill="1" applyBorder="1" applyAlignment="1">
      <alignment horizontal="right"/>
      <protection/>
    </xf>
    <xf numFmtId="0" fontId="9" fillId="0" borderId="51" xfId="46" applyFont="1" applyFill="1" applyBorder="1" applyAlignment="1">
      <alignment horizontal="right"/>
      <protection/>
    </xf>
    <xf numFmtId="0" fontId="9" fillId="0" borderId="50" xfId="46" applyFont="1" applyFill="1" applyBorder="1" applyAlignment="1">
      <alignment horizontal="right"/>
      <protection/>
    </xf>
    <xf numFmtId="0" fontId="9" fillId="0" borderId="4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5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5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4" fontId="6" fillId="0" borderId="4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5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53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9" fillId="0" borderId="50" xfId="0" applyFont="1" applyFill="1" applyBorder="1" applyAlignment="1">
      <alignment/>
    </xf>
    <xf numFmtId="0" fontId="9" fillId="0" borderId="5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50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56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165" fontId="9" fillId="0" borderId="38" xfId="0" applyNumberFormat="1" applyFont="1" applyFill="1" applyBorder="1" applyAlignment="1">
      <alignment/>
    </xf>
    <xf numFmtId="165" fontId="9" fillId="0" borderId="42" xfId="0" applyNumberFormat="1" applyFont="1" applyFill="1" applyBorder="1" applyAlignment="1">
      <alignment/>
    </xf>
    <xf numFmtId="165" fontId="6" fillId="0" borderId="52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9" fillId="0" borderId="37" xfId="0" applyNumberFormat="1" applyFont="1" applyFill="1" applyBorder="1" applyAlignment="1">
      <alignment/>
    </xf>
    <xf numFmtId="165" fontId="17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/>
    </xf>
    <xf numFmtId="165" fontId="9" fillId="0" borderId="54" xfId="0" applyNumberFormat="1" applyFont="1" applyFill="1" applyBorder="1" applyAlignment="1">
      <alignment/>
    </xf>
    <xf numFmtId="165" fontId="9" fillId="0" borderId="39" xfId="0" applyNumberFormat="1" applyFont="1" applyFill="1" applyBorder="1" applyAlignment="1">
      <alignment/>
    </xf>
    <xf numFmtId="165" fontId="6" fillId="0" borderId="40" xfId="0" applyNumberFormat="1" applyFont="1" applyFill="1" applyBorder="1" applyAlignment="1">
      <alignment/>
    </xf>
    <xf numFmtId="165" fontId="6" fillId="0" borderId="39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36" xfId="0" applyNumberFormat="1" applyFont="1" applyFill="1" applyBorder="1" applyAlignment="1">
      <alignment/>
    </xf>
    <xf numFmtId="165" fontId="6" fillId="0" borderId="4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38" xfId="0" applyNumberFormat="1" applyFont="1" applyFill="1" applyBorder="1" applyAlignment="1">
      <alignment horizontal="center"/>
    </xf>
    <xf numFmtId="165" fontId="9" fillId="0" borderId="5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4" fontId="6" fillId="0" borderId="34" xfId="46" applyNumberFormat="1" applyFont="1" applyFill="1" applyBorder="1" applyAlignment="1">
      <alignment horizontal="center"/>
      <protection/>
    </xf>
    <xf numFmtId="0" fontId="6" fillId="0" borderId="36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4" fontId="6" fillId="0" borderId="36" xfId="46" applyNumberFormat="1" applyFont="1" applyFill="1" applyBorder="1" applyAlignment="1">
      <alignment horizontal="center"/>
      <protection/>
    </xf>
    <xf numFmtId="49" fontId="6" fillId="0" borderId="36" xfId="46" applyNumberFormat="1" applyFont="1" applyFill="1" applyBorder="1" applyAlignment="1">
      <alignment horizontal="center"/>
      <protection/>
    </xf>
    <xf numFmtId="165" fontId="6" fillId="0" borderId="34" xfId="46" applyNumberFormat="1" applyFont="1" applyFill="1" applyBorder="1" applyAlignment="1">
      <alignment horizontal="center"/>
      <protection/>
    </xf>
    <xf numFmtId="165" fontId="6" fillId="0" borderId="36" xfId="46" applyNumberFormat="1" applyFont="1" applyFill="1" applyBorder="1" applyAlignment="1">
      <alignment horizontal="center"/>
      <protection/>
    </xf>
    <xf numFmtId="4" fontId="9" fillId="0" borderId="37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49" fontId="6" fillId="0" borderId="36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165" fontId="6" fillId="0" borderId="34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165" fontId="9" fillId="0" borderId="54" xfId="0" applyNumberFormat="1" applyFont="1" applyFill="1" applyBorder="1" applyAlignment="1">
      <alignment/>
    </xf>
    <xf numFmtId="165" fontId="9" fillId="0" borderId="38" xfId="0" applyNumberFormat="1" applyFont="1" applyFill="1" applyBorder="1" applyAlignment="1">
      <alignment/>
    </xf>
    <xf numFmtId="165" fontId="9" fillId="0" borderId="42" xfId="0" applyNumberFormat="1" applyFont="1" applyFill="1" applyBorder="1" applyAlignment="1">
      <alignment/>
    </xf>
    <xf numFmtId="165" fontId="6" fillId="0" borderId="52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9" fillId="0" borderId="37" xfId="0" applyNumberFormat="1" applyFont="1" applyFill="1" applyBorder="1" applyAlignment="1">
      <alignment/>
    </xf>
    <xf numFmtId="165" fontId="6" fillId="0" borderId="42" xfId="0" applyNumberFormat="1" applyFont="1" applyFill="1" applyBorder="1" applyAlignment="1">
      <alignment/>
    </xf>
    <xf numFmtId="165" fontId="9" fillId="0" borderId="50" xfId="0" applyNumberFormat="1" applyFont="1" applyFill="1" applyBorder="1" applyAlignment="1">
      <alignment/>
    </xf>
    <xf numFmtId="165" fontId="9" fillId="0" borderId="36" xfId="0" applyNumberFormat="1" applyFont="1" applyFill="1" applyBorder="1" applyAlignment="1">
      <alignment/>
    </xf>
    <xf numFmtId="165" fontId="9" fillId="0" borderId="39" xfId="0" applyNumberFormat="1" applyFont="1" applyFill="1" applyBorder="1" applyAlignment="1">
      <alignment/>
    </xf>
    <xf numFmtId="165" fontId="6" fillId="0" borderId="5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0" xfId="46" applyFont="1" applyFill="1" applyBorder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14" fillId="0" borderId="0" xfId="46" applyFont="1" applyFill="1" applyAlignment="1">
      <alignment/>
      <protection/>
    </xf>
    <xf numFmtId="0" fontId="14" fillId="0" borderId="0" xfId="46" applyFont="1" applyAlignment="1">
      <alignment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46" applyFont="1" applyFill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B33" sqref="B33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47" t="s">
        <v>3</v>
      </c>
      <c r="B6" s="348"/>
      <c r="C6" s="349"/>
      <c r="D6" s="349"/>
      <c r="E6" s="349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350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51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10</v>
      </c>
      <c r="C11" s="14">
        <v>278551</v>
      </c>
      <c r="D11" s="14">
        <v>277976.2</v>
      </c>
      <c r="E11" s="15">
        <v>306084.8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11</v>
      </c>
      <c r="C12" s="17">
        <v>59076.1</v>
      </c>
      <c r="D12" s="17">
        <v>61366.5</v>
      </c>
      <c r="E12" s="18">
        <v>73530.1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12</v>
      </c>
      <c r="C13" s="17">
        <v>12871</v>
      </c>
      <c r="D13" s="17">
        <v>13321</v>
      </c>
      <c r="E13" s="18">
        <v>12300.1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13</v>
      </c>
      <c r="C14" s="17">
        <v>84439</v>
      </c>
      <c r="D14" s="17">
        <v>68921.9</v>
      </c>
      <c r="E14" s="18">
        <f>599378.9-530077.8</f>
        <v>69301.09999999998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14</v>
      </c>
      <c r="C15" s="21">
        <f>SUM(C11:C14)</f>
        <v>434937.1</v>
      </c>
      <c r="D15" s="21">
        <f>SUM(D11:D14)</f>
        <v>421585.6</v>
      </c>
      <c r="E15" s="22">
        <f>SUM(E11:E14)</f>
        <v>461216.1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15</v>
      </c>
      <c r="C17" s="17">
        <v>355833.5</v>
      </c>
      <c r="D17" s="17">
        <v>391969.3</v>
      </c>
      <c r="E17" s="18">
        <f>893355-530077.8</f>
        <v>363277.19999999995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16</v>
      </c>
      <c r="C18" s="17">
        <v>136705</v>
      </c>
      <c r="D18" s="17">
        <v>140224.3</v>
      </c>
      <c r="E18" s="18">
        <v>79890.8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17</v>
      </c>
      <c r="C19" s="21">
        <f>SUM(C17:C18)</f>
        <v>492538.5</v>
      </c>
      <c r="D19" s="21">
        <f>SUM(D17:D18)</f>
        <v>532193.6</v>
      </c>
      <c r="E19" s="22">
        <f>SUM(E17:E18)</f>
        <v>443167.99999999994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19</v>
      </c>
      <c r="C22" s="33"/>
      <c r="D22" s="33"/>
      <c r="E22" s="34">
        <v>18048.1</v>
      </c>
    </row>
    <row r="23" spans="2:5" ht="15" customHeight="1" thickBot="1">
      <c r="B23" s="35" t="s">
        <v>20</v>
      </c>
      <c r="C23" s="36">
        <v>57601.4</v>
      </c>
      <c r="D23" s="36">
        <v>110608</v>
      </c>
      <c r="E23" s="37"/>
    </row>
    <row r="26" ht="12.75">
      <c r="B26" s="38" t="s">
        <v>21</v>
      </c>
    </row>
    <row r="27" spans="2:5" ht="12.75">
      <c r="B27" s="38" t="s">
        <v>22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zoomScale="80" zoomScaleNormal="80" zoomScalePageLayoutView="0" workbookViewId="0" topLeftCell="A23">
      <selection activeCell="G23" sqref="G23"/>
    </sheetView>
  </sheetViews>
  <sheetFormatPr defaultColWidth="9.140625" defaultRowHeight="12.75"/>
  <cols>
    <col min="1" max="1" width="72.00390625" style="42" customWidth="1"/>
    <col min="2" max="2" width="16.7109375" style="120" hidden="1" customWidth="1"/>
    <col min="3" max="4" width="16.7109375" style="120" customWidth="1"/>
    <col min="5" max="5" width="11.421875" style="120" customWidth="1"/>
    <col min="6" max="6" width="9.140625" style="42" customWidth="1"/>
    <col min="7" max="7" width="24.8515625" style="42" customWidth="1"/>
    <col min="8" max="16384" width="9.140625" style="42" customWidth="1"/>
  </cols>
  <sheetData>
    <row r="1" spans="1:5" ht="21.75" customHeight="1">
      <c r="A1" s="40" t="s">
        <v>23</v>
      </c>
      <c r="B1" s="41"/>
      <c r="C1" s="41"/>
      <c r="D1" s="41"/>
      <c r="E1" s="41"/>
    </row>
    <row r="2" spans="1:5" ht="12.75" customHeight="1">
      <c r="A2" s="40"/>
      <c r="B2" s="41"/>
      <c r="C2" s="41"/>
      <c r="D2" s="41"/>
      <c r="E2" s="41"/>
    </row>
    <row r="3" spans="1:7" s="43" customFormat="1" ht="24" customHeight="1">
      <c r="A3" s="352" t="s">
        <v>24</v>
      </c>
      <c r="B3" s="353"/>
      <c r="C3" s="353"/>
      <c r="D3" s="353"/>
      <c r="E3" s="353"/>
      <c r="F3" s="42"/>
      <c r="G3" s="42"/>
    </row>
    <row r="4" spans="1:7" s="43" customFormat="1" ht="15" customHeight="1" thickBot="1">
      <c r="A4" s="40"/>
      <c r="B4" s="41"/>
      <c r="C4" s="41"/>
      <c r="D4" s="44" t="s">
        <v>25</v>
      </c>
      <c r="E4" s="41"/>
      <c r="F4" s="42"/>
      <c r="G4" s="42"/>
    </row>
    <row r="5" spans="1:5" ht="15.75">
      <c r="A5" s="45"/>
      <c r="B5" s="46"/>
      <c r="C5" s="46" t="s">
        <v>26</v>
      </c>
      <c r="D5" s="46" t="s">
        <v>8</v>
      </c>
      <c r="E5" s="47" t="s">
        <v>27</v>
      </c>
    </row>
    <row r="6" spans="1:5" ht="15.75" customHeight="1" thickBot="1">
      <c r="A6" s="48"/>
      <c r="B6" s="49" t="s">
        <v>28</v>
      </c>
      <c r="C6" s="49" t="s">
        <v>29</v>
      </c>
      <c r="D6" s="50" t="s">
        <v>30</v>
      </c>
      <c r="E6" s="51" t="s">
        <v>31</v>
      </c>
    </row>
    <row r="7" spans="1:5" ht="16.5" customHeight="1" thickTop="1">
      <c r="A7" s="52"/>
      <c r="B7" s="53"/>
      <c r="C7" s="54"/>
      <c r="D7" s="54"/>
      <c r="E7" s="55"/>
    </row>
    <row r="8" spans="1:5" ht="15" customHeight="1">
      <c r="A8" s="56" t="s">
        <v>32</v>
      </c>
      <c r="B8" s="57"/>
      <c r="C8" s="58">
        <v>278</v>
      </c>
      <c r="D8" s="58">
        <v>306.1</v>
      </c>
      <c r="E8" s="59">
        <f aca="true" t="shared" si="0" ref="E8:E22">(D8/C8)*100</f>
        <v>110.10791366906476</v>
      </c>
    </row>
    <row r="9" spans="1:5" ht="15" customHeight="1" hidden="1">
      <c r="A9" s="60" t="s">
        <v>33</v>
      </c>
      <c r="B9" s="53"/>
      <c r="C9" s="54"/>
      <c r="D9" s="54"/>
      <c r="E9" s="61"/>
    </row>
    <row r="10" spans="1:5" ht="15" customHeight="1">
      <c r="A10" s="60" t="s">
        <v>33</v>
      </c>
      <c r="B10" s="53"/>
      <c r="C10" s="54"/>
      <c r="D10" s="54"/>
      <c r="E10" s="61"/>
    </row>
    <row r="11" spans="1:5" ht="15">
      <c r="A11" s="62" t="s">
        <v>34</v>
      </c>
      <c r="B11" s="63">
        <v>48000</v>
      </c>
      <c r="C11" s="64">
        <v>48</v>
      </c>
      <c r="D11" s="64">
        <v>55</v>
      </c>
      <c r="E11" s="61">
        <f t="shared" si="0"/>
        <v>114.58333333333333</v>
      </c>
    </row>
    <row r="12" spans="1:5" ht="15">
      <c r="A12" s="62" t="s">
        <v>35</v>
      </c>
      <c r="B12" s="65">
        <v>6000</v>
      </c>
      <c r="C12" s="66">
        <v>6</v>
      </c>
      <c r="D12" s="66">
        <v>4.7</v>
      </c>
      <c r="E12" s="61">
        <f t="shared" si="0"/>
        <v>78.33333333333333</v>
      </c>
    </row>
    <row r="13" spans="1:5" ht="15">
      <c r="A13" s="62" t="s">
        <v>36</v>
      </c>
      <c r="B13" s="65">
        <v>4700</v>
      </c>
      <c r="C13" s="66">
        <v>4.7</v>
      </c>
      <c r="D13" s="66">
        <v>5.3</v>
      </c>
      <c r="E13" s="61">
        <f t="shared" si="0"/>
        <v>112.7659574468085</v>
      </c>
    </row>
    <row r="14" spans="1:5" ht="15">
      <c r="A14" s="62" t="s">
        <v>37</v>
      </c>
      <c r="B14" s="65">
        <v>45000</v>
      </c>
      <c r="C14" s="66">
        <v>45</v>
      </c>
      <c r="D14" s="64">
        <v>51.8</v>
      </c>
      <c r="E14" s="61">
        <f t="shared" si="0"/>
        <v>115.1111111111111</v>
      </c>
    </row>
    <row r="15" spans="1:5" ht="15">
      <c r="A15" s="62" t="s">
        <v>38</v>
      </c>
      <c r="B15" s="63">
        <v>10000</v>
      </c>
      <c r="C15" s="64">
        <v>9.4</v>
      </c>
      <c r="D15" s="64">
        <v>9.4</v>
      </c>
      <c r="E15" s="61">
        <f t="shared" si="0"/>
        <v>100</v>
      </c>
    </row>
    <row r="16" spans="1:5" ht="15">
      <c r="A16" s="62" t="s">
        <v>39</v>
      </c>
      <c r="B16" s="63">
        <v>102000</v>
      </c>
      <c r="C16" s="64">
        <v>102</v>
      </c>
      <c r="D16" s="64">
        <v>111.1</v>
      </c>
      <c r="E16" s="61">
        <f t="shared" si="0"/>
        <v>108.92156862745097</v>
      </c>
    </row>
    <row r="17" spans="1:5" ht="15">
      <c r="A17" s="62" t="s">
        <v>40</v>
      </c>
      <c r="B17" s="67">
        <v>21500</v>
      </c>
      <c r="C17" s="68">
        <v>21.5</v>
      </c>
      <c r="D17" s="68">
        <v>22.1</v>
      </c>
      <c r="E17" s="61">
        <f t="shared" si="0"/>
        <v>102.79069767441862</v>
      </c>
    </row>
    <row r="18" spans="1:5" ht="15" customHeight="1">
      <c r="A18" s="62" t="s">
        <v>41</v>
      </c>
      <c r="B18" s="53"/>
      <c r="C18" s="54">
        <v>10.3</v>
      </c>
      <c r="D18" s="54">
        <v>10.8</v>
      </c>
      <c r="E18" s="61">
        <f t="shared" si="0"/>
        <v>104.85436893203884</v>
      </c>
    </row>
    <row r="19" spans="1:5" ht="15">
      <c r="A19" s="62" t="s">
        <v>42</v>
      </c>
      <c r="B19" s="63">
        <v>18500</v>
      </c>
      <c r="C19" s="64">
        <v>18.5</v>
      </c>
      <c r="D19" s="64">
        <v>20.5</v>
      </c>
      <c r="E19" s="61">
        <f t="shared" si="0"/>
        <v>110.8108108108108</v>
      </c>
    </row>
    <row r="20" spans="1:5" ht="15" hidden="1">
      <c r="A20" s="62" t="s">
        <v>43</v>
      </c>
      <c r="B20" s="63"/>
      <c r="C20" s="64">
        <v>8.9</v>
      </c>
      <c r="D20" s="69">
        <v>10.1</v>
      </c>
      <c r="E20" s="61">
        <f t="shared" si="0"/>
        <v>113.48314606741572</v>
      </c>
    </row>
    <row r="21" spans="1:5" ht="15">
      <c r="A21" s="62"/>
      <c r="B21" s="63"/>
      <c r="C21" s="64"/>
      <c r="D21" s="64"/>
      <c r="E21" s="61"/>
    </row>
    <row r="22" spans="1:5" ht="15.75">
      <c r="A22" s="56" t="s">
        <v>44</v>
      </c>
      <c r="B22" s="58"/>
      <c r="C22" s="58">
        <v>61.4</v>
      </c>
      <c r="D22" s="58">
        <v>73.5</v>
      </c>
      <c r="E22" s="59">
        <f t="shared" si="0"/>
        <v>119.70684039087949</v>
      </c>
    </row>
    <row r="23" spans="1:5" ht="15">
      <c r="A23" s="60" t="s">
        <v>33</v>
      </c>
      <c r="B23" s="54"/>
      <c r="C23" s="54"/>
      <c r="D23" s="54"/>
      <c r="E23" s="61"/>
    </row>
    <row r="24" spans="1:5" ht="15" hidden="1">
      <c r="A24" s="60" t="s">
        <v>45</v>
      </c>
      <c r="B24" s="54"/>
      <c r="C24" s="54">
        <v>8.7</v>
      </c>
      <c r="D24" s="54">
        <v>9.1</v>
      </c>
      <c r="E24" s="61">
        <f>(D24/C24)*100</f>
        <v>104.59770114942528</v>
      </c>
    </row>
    <row r="25" spans="1:5" ht="15" hidden="1">
      <c r="A25" s="60" t="s">
        <v>46</v>
      </c>
      <c r="B25" s="54"/>
      <c r="C25" s="54">
        <v>20.5</v>
      </c>
      <c r="D25" s="54">
        <v>21.4</v>
      </c>
      <c r="E25" s="61">
        <f>(D25/C25)*100</f>
        <v>104.39024390243902</v>
      </c>
    </row>
    <row r="26" spans="1:5" ht="15">
      <c r="A26" s="62" t="s">
        <v>47</v>
      </c>
      <c r="B26" s="66"/>
      <c r="C26" s="66">
        <v>4.8</v>
      </c>
      <c r="D26" s="66">
        <v>7.2</v>
      </c>
      <c r="E26" s="61">
        <f>(D26/C26)*100</f>
        <v>150</v>
      </c>
    </row>
    <row r="27" spans="1:5" ht="15">
      <c r="A27" s="62" t="s">
        <v>48</v>
      </c>
      <c r="B27" s="70"/>
      <c r="C27" s="69">
        <v>12</v>
      </c>
      <c r="D27" s="69">
        <v>16.3</v>
      </c>
      <c r="E27" s="61">
        <f>(D27/C27)*100</f>
        <v>135.83333333333334</v>
      </c>
    </row>
    <row r="28" spans="1:5" ht="15">
      <c r="A28" s="62"/>
      <c r="B28" s="63"/>
      <c r="C28" s="64"/>
      <c r="D28" s="64"/>
      <c r="E28" s="61"/>
    </row>
    <row r="29" spans="1:5" ht="15.75">
      <c r="A29" s="56" t="s">
        <v>49</v>
      </c>
      <c r="B29" s="71"/>
      <c r="C29" s="72">
        <v>13.3</v>
      </c>
      <c r="D29" s="72">
        <v>12.3</v>
      </c>
      <c r="E29" s="59">
        <f>(D29/C29)*100</f>
        <v>92.4812030075188</v>
      </c>
    </row>
    <row r="30" spans="1:5" ht="15">
      <c r="A30" s="62" t="s">
        <v>33</v>
      </c>
      <c r="B30" s="67"/>
      <c r="C30" s="68"/>
      <c r="D30" s="68"/>
      <c r="E30" s="61"/>
    </row>
    <row r="31" spans="1:5" ht="15" hidden="1">
      <c r="A31" s="62"/>
      <c r="B31" s="67"/>
      <c r="C31" s="68"/>
      <c r="D31" s="68"/>
      <c r="E31" s="61"/>
    </row>
    <row r="32" spans="1:5" ht="15.75" hidden="1">
      <c r="A32" s="62" t="s">
        <v>50</v>
      </c>
      <c r="B32" s="67"/>
      <c r="C32" s="68">
        <v>12.8</v>
      </c>
      <c r="D32" s="68">
        <v>11.6</v>
      </c>
      <c r="E32" s="59">
        <f>(D32/C32)*100</f>
        <v>90.62499999999999</v>
      </c>
    </row>
    <row r="33" spans="1:5" ht="15" hidden="1">
      <c r="A33" s="62"/>
      <c r="B33" s="67"/>
      <c r="C33" s="68"/>
      <c r="D33" s="68"/>
      <c r="E33" s="61"/>
    </row>
    <row r="34" spans="1:5" ht="15">
      <c r="A34" s="62" t="s">
        <v>51</v>
      </c>
      <c r="B34" s="67"/>
      <c r="C34" s="68">
        <v>12.9</v>
      </c>
      <c r="D34" s="68">
        <v>11.6</v>
      </c>
      <c r="E34" s="61">
        <f>(D34/C34)*100</f>
        <v>89.92248062015503</v>
      </c>
    </row>
    <row r="35" spans="1:5" ht="15" customHeight="1" hidden="1">
      <c r="A35" s="62"/>
      <c r="B35" s="67"/>
      <c r="C35" s="68"/>
      <c r="D35" s="68"/>
      <c r="E35" s="61"/>
    </row>
    <row r="36" spans="1:5" ht="15" customHeight="1">
      <c r="A36" s="62"/>
      <c r="B36" s="67"/>
      <c r="C36" s="68"/>
      <c r="D36" s="68"/>
      <c r="E36" s="61"/>
    </row>
    <row r="37" spans="1:5" ht="15.75">
      <c r="A37" s="56" t="s">
        <v>52</v>
      </c>
      <c r="B37" s="71"/>
      <c r="C37" s="72">
        <v>68.9</v>
      </c>
      <c r="D37" s="72">
        <f>66.7+2.6</f>
        <v>69.3</v>
      </c>
      <c r="E37" s="59">
        <f>(D37/C37)*100</f>
        <v>100.58055152394773</v>
      </c>
    </row>
    <row r="38" spans="1:5" ht="15" hidden="1">
      <c r="A38" s="62"/>
      <c r="B38" s="73"/>
      <c r="C38" s="74"/>
      <c r="D38" s="68"/>
      <c r="E38" s="61"/>
    </row>
    <row r="39" spans="1:5" ht="16.5" thickBot="1">
      <c r="A39" s="75"/>
      <c r="B39" s="76"/>
      <c r="C39" s="77"/>
      <c r="D39" s="77"/>
      <c r="E39" s="59"/>
    </row>
    <row r="40" spans="1:5" s="82" customFormat="1" ht="24.75" customHeight="1" thickBot="1" thickTop="1">
      <c r="A40" s="78" t="s">
        <v>53</v>
      </c>
      <c r="B40" s="79">
        <f>SUM(B11:B39)</f>
        <v>255700</v>
      </c>
      <c r="C40" s="80">
        <v>421.6</v>
      </c>
      <c r="D40" s="80">
        <v>461.2</v>
      </c>
      <c r="E40" s="81">
        <f>(D40/C40)*100</f>
        <v>109.39278937381403</v>
      </c>
    </row>
    <row r="41" spans="1:5" ht="16.5" customHeight="1">
      <c r="A41" s="52"/>
      <c r="B41" s="53"/>
      <c r="C41" s="54"/>
      <c r="D41" s="54"/>
      <c r="E41" s="83"/>
    </row>
    <row r="42" spans="1:5" ht="15" customHeight="1">
      <c r="A42" s="56" t="s">
        <v>54</v>
      </c>
      <c r="B42" s="57"/>
      <c r="C42" s="58">
        <v>392</v>
      </c>
      <c r="D42" s="58">
        <v>363.3</v>
      </c>
      <c r="E42" s="84">
        <f>(D42/C42)*100</f>
        <v>92.67857142857143</v>
      </c>
    </row>
    <row r="43" spans="1:5" ht="15" customHeight="1" hidden="1" thickBot="1">
      <c r="A43" s="60" t="s">
        <v>33</v>
      </c>
      <c r="B43" s="53"/>
      <c r="C43" s="54"/>
      <c r="D43" s="54"/>
      <c r="E43" s="85"/>
    </row>
    <row r="44" spans="1:5" ht="15" customHeight="1">
      <c r="A44" s="60" t="s">
        <v>33</v>
      </c>
      <c r="B44" s="53"/>
      <c r="C44" s="54"/>
      <c r="D44" s="54"/>
      <c r="E44" s="85"/>
    </row>
    <row r="45" spans="1:5" ht="15" customHeight="1">
      <c r="A45" s="60" t="s">
        <v>55</v>
      </c>
      <c r="B45" s="53"/>
      <c r="C45" s="54">
        <v>101.5</v>
      </c>
      <c r="D45" s="54">
        <v>93.8</v>
      </c>
      <c r="E45" s="86">
        <f aca="true" t="shared" si="1" ref="E45:E50">(D45/C45)*100</f>
        <v>92.41379310344827</v>
      </c>
    </row>
    <row r="46" spans="1:5" ht="15" customHeight="1">
      <c r="A46" s="60" t="s">
        <v>56</v>
      </c>
      <c r="B46" s="53"/>
      <c r="C46" s="54">
        <v>11.5</v>
      </c>
      <c r="D46" s="54">
        <v>9.8</v>
      </c>
      <c r="E46" s="86">
        <f t="shared" si="1"/>
        <v>85.21739130434783</v>
      </c>
    </row>
    <row r="47" spans="1:5" ht="15" customHeight="1">
      <c r="A47" s="60" t="s">
        <v>57</v>
      </c>
      <c r="B47" s="53"/>
      <c r="C47" s="54">
        <v>20.2</v>
      </c>
      <c r="D47" s="54">
        <v>19.2</v>
      </c>
      <c r="E47" s="86">
        <f t="shared" si="1"/>
        <v>95.04950495049505</v>
      </c>
    </row>
    <row r="48" spans="1:5" ht="15" customHeight="1">
      <c r="A48" s="60" t="s">
        <v>58</v>
      </c>
      <c r="B48" s="53"/>
      <c r="C48" s="54">
        <v>69.5</v>
      </c>
      <c r="D48" s="54">
        <v>61.6</v>
      </c>
      <c r="E48" s="86">
        <f t="shared" si="1"/>
        <v>88.63309352517986</v>
      </c>
    </row>
    <row r="49" spans="1:5" ht="15" customHeight="1">
      <c r="A49" s="60" t="s">
        <v>59</v>
      </c>
      <c r="B49" s="53"/>
      <c r="C49" s="54">
        <v>46.9</v>
      </c>
      <c r="D49" s="54">
        <v>43.3</v>
      </c>
      <c r="E49" s="86">
        <f t="shared" si="1"/>
        <v>92.32409381663112</v>
      </c>
    </row>
    <row r="50" spans="1:5" ht="15" customHeight="1">
      <c r="A50" s="60" t="s">
        <v>60</v>
      </c>
      <c r="B50" s="53"/>
      <c r="C50" s="54">
        <v>77.8</v>
      </c>
      <c r="D50" s="54">
        <v>77.8</v>
      </c>
      <c r="E50" s="85">
        <f t="shared" si="1"/>
        <v>100</v>
      </c>
    </row>
    <row r="51" spans="1:5" ht="15">
      <c r="A51" s="62"/>
      <c r="B51" s="63"/>
      <c r="C51" s="64"/>
      <c r="D51" s="64"/>
      <c r="E51" s="85"/>
    </row>
    <row r="52" spans="1:5" s="89" customFormat="1" ht="15.75">
      <c r="A52" s="52" t="s">
        <v>61</v>
      </c>
      <c r="B52" s="87"/>
      <c r="C52" s="88">
        <v>140.2</v>
      </c>
      <c r="D52" s="88">
        <f>77.2+2.6</f>
        <v>79.8</v>
      </c>
      <c r="E52" s="84">
        <f>(D52/C52)*100</f>
        <v>56.918687589158345</v>
      </c>
    </row>
    <row r="53" spans="1:5" s="89" customFormat="1" ht="15.75">
      <c r="A53" s="90" t="s">
        <v>33</v>
      </c>
      <c r="B53" s="91"/>
      <c r="C53" s="92"/>
      <c r="D53" s="92"/>
      <c r="E53" s="93"/>
    </row>
    <row r="54" spans="1:5" ht="15">
      <c r="A54" s="94" t="s">
        <v>62</v>
      </c>
      <c r="B54" s="95"/>
      <c r="C54" s="96">
        <v>107.8</v>
      </c>
      <c r="D54" s="96">
        <f>56.3+2.6</f>
        <v>58.9</v>
      </c>
      <c r="E54" s="86">
        <f>(D54/C54)*100</f>
        <v>54.63821892393321</v>
      </c>
    </row>
    <row r="55" spans="1:5" s="89" customFormat="1" ht="15.75">
      <c r="A55" s="90" t="s">
        <v>63</v>
      </c>
      <c r="B55" s="91"/>
      <c r="C55" s="96">
        <v>10.4</v>
      </c>
      <c r="D55" s="96">
        <v>5</v>
      </c>
      <c r="E55" s="86">
        <f>(D55/C55)*100</f>
        <v>48.07692307692307</v>
      </c>
    </row>
    <row r="56" spans="1:5" s="89" customFormat="1" ht="15.75">
      <c r="A56" s="90" t="s">
        <v>64</v>
      </c>
      <c r="B56" s="91"/>
      <c r="C56" s="97">
        <v>9.7</v>
      </c>
      <c r="D56" s="97">
        <v>9.6</v>
      </c>
      <c r="E56" s="86">
        <f>(D56/C56)*100</f>
        <v>98.96907216494846</v>
      </c>
    </row>
    <row r="57" spans="1:5" ht="15.75" thickBot="1">
      <c r="A57" s="75"/>
      <c r="B57" s="98"/>
      <c r="C57" s="99"/>
      <c r="D57" s="99"/>
      <c r="E57" s="100"/>
    </row>
    <row r="58" spans="1:5" s="82" customFormat="1" ht="24" customHeight="1" thickBot="1" thickTop="1">
      <c r="A58" s="78" t="s">
        <v>65</v>
      </c>
      <c r="B58" s="79">
        <f>SUM(B21:B57)</f>
        <v>255700</v>
      </c>
      <c r="C58" s="80">
        <v>532.2</v>
      </c>
      <c r="D58" s="80">
        <v>443.1</v>
      </c>
      <c r="E58" s="101">
        <f>(D58/C58)*100</f>
        <v>83.25817361894025</v>
      </c>
    </row>
    <row r="59" spans="1:5" s="106" customFormat="1" ht="24.75" customHeight="1" thickBot="1">
      <c r="A59" s="102" t="s">
        <v>66</v>
      </c>
      <c r="B59" s="103"/>
      <c r="C59" s="104">
        <v>-110.6</v>
      </c>
      <c r="D59" s="104">
        <v>18.1</v>
      </c>
      <c r="E59" s="105"/>
    </row>
    <row r="60" spans="1:5" ht="15.75" thickBot="1">
      <c r="A60" s="107"/>
      <c r="B60" s="108"/>
      <c r="C60" s="109"/>
      <c r="D60" s="109"/>
      <c r="E60" s="109"/>
    </row>
    <row r="61" spans="1:5" s="106" customFormat="1" ht="18.75" thickBot="1">
      <c r="A61" s="110" t="s">
        <v>67</v>
      </c>
      <c r="B61" s="111"/>
      <c r="C61" s="112"/>
      <c r="D61" s="112">
        <v>132.3</v>
      </c>
      <c r="E61" s="113"/>
    </row>
    <row r="62" spans="1:5" ht="15.75" thickBot="1">
      <c r="A62" s="107"/>
      <c r="B62" s="108"/>
      <c r="C62" s="109"/>
      <c r="D62" s="109"/>
      <c r="E62" s="109"/>
    </row>
    <row r="63" spans="1:5" s="89" customFormat="1" ht="24" customHeight="1" thickBot="1">
      <c r="A63" s="110" t="s">
        <v>68</v>
      </c>
      <c r="B63" s="114"/>
      <c r="C63" s="115"/>
      <c r="D63" s="112">
        <v>28.9</v>
      </c>
      <c r="E63" s="116"/>
    </row>
    <row r="65" spans="1:5" s="117" customFormat="1" ht="18">
      <c r="A65" s="354" t="s">
        <v>69</v>
      </c>
      <c r="B65" s="355"/>
      <c r="C65" s="355"/>
      <c r="D65" s="355"/>
      <c r="E65" s="355"/>
    </row>
    <row r="66" spans="1:5" s="117" customFormat="1" ht="18">
      <c r="A66" s="354" t="s">
        <v>70</v>
      </c>
      <c r="B66" s="355"/>
      <c r="C66" s="355"/>
      <c r="D66" s="355"/>
      <c r="E66" s="355"/>
    </row>
    <row r="67" spans="1:5" s="117" customFormat="1" ht="18">
      <c r="A67" s="117" t="s">
        <v>71</v>
      </c>
      <c r="B67" s="118"/>
      <c r="C67" s="118"/>
      <c r="D67" s="118"/>
      <c r="E67" s="118"/>
    </row>
    <row r="70" ht="12.75">
      <c r="A70" s="119" t="s">
        <v>72</v>
      </c>
    </row>
    <row r="71" ht="12.75">
      <c r="A71" s="119" t="s">
        <v>73</v>
      </c>
    </row>
    <row r="75" ht="12.75" hidden="1"/>
    <row r="77" spans="1:7" s="121" customFormat="1" ht="21.75" customHeight="1">
      <c r="A77" s="42"/>
      <c r="B77" s="120"/>
      <c r="C77" s="120"/>
      <c r="D77" s="120"/>
      <c r="E77" s="120"/>
      <c r="F77" s="42"/>
      <c r="G77" s="42"/>
    </row>
    <row r="78" ht="15" customHeight="1"/>
    <row r="79" ht="15" customHeight="1" hidden="1"/>
    <row r="80" ht="15" customHeight="1"/>
    <row r="81" ht="15" customHeight="1"/>
    <row r="82" ht="15" customHeight="1"/>
    <row r="83" ht="15" customHeight="1"/>
    <row r="84" ht="15" customHeight="1"/>
    <row r="86" ht="15.75" customHeight="1"/>
    <row r="87" ht="16.5" customHeight="1"/>
    <row r="92" ht="12.75" hidden="1"/>
    <row r="97" ht="12.75" hidden="1"/>
    <row r="99" spans="1:7" s="121" customFormat="1" ht="21.75" customHeight="1">
      <c r="A99" s="42"/>
      <c r="B99" s="120"/>
      <c r="C99" s="120"/>
      <c r="D99" s="120"/>
      <c r="E99" s="120"/>
      <c r="F99" s="42"/>
      <c r="G99" s="42"/>
    </row>
    <row r="100" ht="15" customHeight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/>
    <row r="110" ht="15.75" customHeight="1"/>
    <row r="111" ht="15.75" customHeight="1"/>
    <row r="114" ht="12.75" hidden="1"/>
    <row r="116" ht="12.75" hidden="1"/>
    <row r="118" ht="15" customHeight="1"/>
    <row r="119" spans="1:7" s="121" customFormat="1" ht="21.75" customHeight="1">
      <c r="A119" s="42"/>
      <c r="B119" s="120"/>
      <c r="C119" s="120"/>
      <c r="D119" s="120"/>
      <c r="E119" s="120"/>
      <c r="F119" s="42"/>
      <c r="G119" s="42"/>
    </row>
    <row r="120" ht="15" customHeight="1"/>
    <row r="121" ht="15" customHeight="1" hidden="1"/>
    <row r="122" ht="15" customHeight="1" hidden="1"/>
    <row r="123" ht="15" customHeight="1"/>
    <row r="125" ht="15.75" customHeight="1"/>
    <row r="126" ht="15.75" customHeight="1"/>
    <row r="127" ht="15.75" customHeight="1"/>
    <row r="140" ht="15" customHeight="1"/>
    <row r="146" ht="12.75" hidden="1"/>
    <row r="150" ht="15" customHeight="1" hidden="1"/>
    <row r="152" ht="12.75" hidden="1"/>
    <row r="154" ht="12.75" hidden="1"/>
    <row r="156" ht="12.75" hidden="1"/>
    <row r="157" ht="15.75" customHeight="1"/>
    <row r="158" spans="1:7" s="121" customFormat="1" ht="21.75" customHeight="1">
      <c r="A158" s="42"/>
      <c r="B158" s="120"/>
      <c r="C158" s="120"/>
      <c r="D158" s="120"/>
      <c r="E158" s="120"/>
      <c r="F158" s="42"/>
      <c r="G158" s="42"/>
    </row>
    <row r="159" ht="15" customHeight="1"/>
    <row r="161" ht="12.75" hidden="1"/>
    <row r="162" ht="15" customHeight="1"/>
    <row r="164" ht="15.75" customHeight="1"/>
    <row r="165" ht="16.5" customHeight="1"/>
    <row r="172" ht="12.75" hidden="1"/>
    <row r="176" ht="12.75" hidden="1"/>
    <row r="177" ht="12.75" hidden="1"/>
    <row r="178" ht="12.75" hidden="1"/>
    <row r="188" ht="12.75" hidden="1"/>
    <row r="192" ht="15" customHeight="1"/>
    <row r="195" ht="15" customHeight="1"/>
    <row r="197" ht="12.75" hidden="1"/>
    <row r="198" ht="12.75" hidden="1"/>
    <row r="199" ht="15" customHeight="1"/>
    <row r="200" ht="12.75" hidden="1"/>
    <row r="201" ht="12.75" hidden="1"/>
    <row r="202" ht="12.75" hidden="1"/>
    <row r="203" ht="15" customHeight="1"/>
    <row r="204" ht="15" customHeight="1" hidden="1"/>
    <row r="205" ht="15" customHeight="1" hidden="1"/>
    <row r="206" ht="15" customHeight="1"/>
    <row r="207" ht="15.75" customHeight="1"/>
    <row r="208" spans="1:7" s="121" customFormat="1" ht="22.5" customHeight="1">
      <c r="A208" s="42"/>
      <c r="B208" s="120"/>
      <c r="C208" s="120"/>
      <c r="D208" s="120"/>
      <c r="E208" s="120"/>
      <c r="F208" s="42"/>
      <c r="G208" s="42"/>
    </row>
    <row r="209" ht="15" customHeight="1"/>
    <row r="210" ht="15" customHeight="1" hidden="1"/>
    <row r="211" ht="15" customHeight="1" hidden="1"/>
    <row r="212" ht="15" customHeight="1" hidden="1"/>
    <row r="213" ht="15" customHeight="1" hidden="1"/>
    <row r="214" ht="15" customHeight="1"/>
    <row r="215" ht="15" customHeight="1"/>
    <row r="217" ht="15.75" customHeight="1"/>
    <row r="222" spans="1:7" s="121" customFormat="1" ht="22.5" customHeight="1">
      <c r="A222" s="42"/>
      <c r="B222" s="120"/>
      <c r="C222" s="120"/>
      <c r="D222" s="120"/>
      <c r="E222" s="120"/>
      <c r="F222" s="42"/>
      <c r="G222" s="42"/>
    </row>
    <row r="224" ht="12.75" hidden="1"/>
    <row r="225" ht="12.75" hidden="1"/>
    <row r="226" ht="12.75" hidden="1"/>
    <row r="227" ht="12.75" hidden="1"/>
    <row r="228" ht="12.75" hidden="1"/>
    <row r="229" ht="15" customHeight="1"/>
    <row r="230" ht="15" customHeight="1"/>
    <row r="232" ht="15.75" customHeight="1"/>
    <row r="233" spans="1:7" s="121" customFormat="1" ht="30.75" customHeight="1">
      <c r="A233" s="42"/>
      <c r="B233" s="120"/>
      <c r="C233" s="120"/>
      <c r="D233" s="120"/>
      <c r="E233" s="120"/>
      <c r="F233" s="42"/>
      <c r="G233" s="42"/>
    </row>
    <row r="234" ht="15" customHeight="1"/>
    <row r="235" ht="1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5" customHeight="1"/>
    <row r="243" ht="15" customHeight="1"/>
    <row r="245" ht="15.75" customHeight="1"/>
    <row r="246" ht="16.5" customHeight="1"/>
    <row r="247" ht="14.25" customHeight="1"/>
    <row r="248" ht="15" customHeight="1"/>
    <row r="249" ht="12.75" hidden="1"/>
    <row r="250" ht="14.25" customHeight="1"/>
    <row r="251" ht="15" customHeight="1" hidden="1"/>
    <row r="252" ht="14.25" customHeight="1" hidden="1"/>
    <row r="253" ht="15" customHeight="1"/>
    <row r="254" spans="1:7" s="121" customFormat="1" ht="22.5" customHeight="1">
      <c r="A254" s="42"/>
      <c r="B254" s="120"/>
      <c r="C254" s="120"/>
      <c r="D254" s="120"/>
      <c r="E254" s="120"/>
      <c r="F254" s="42"/>
      <c r="G254" s="42"/>
    </row>
    <row r="255" spans="1:7" s="121" customFormat="1" ht="22.5" customHeight="1">
      <c r="A255" s="42"/>
      <c r="B255" s="120"/>
      <c r="C255" s="120"/>
      <c r="D255" s="120"/>
      <c r="E255" s="120"/>
      <c r="F255" s="42"/>
      <c r="G255" s="42"/>
    </row>
    <row r="256" ht="15" customHeight="1"/>
    <row r="259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/>
  <mergeCells count="3">
    <mergeCell ref="A3:E3"/>
    <mergeCell ref="A65:E65"/>
    <mergeCell ref="A66:E66"/>
  </mergeCells>
  <printOptions/>
  <pageMargins left="0.7480314960629921" right="0.15748031496062992" top="0.6299212598425197" bottom="0.2362204724409449" header="0.03937007874015748" footer="0.0787401574803149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4"/>
  <sheetViews>
    <sheetView zoomScale="80" zoomScaleNormal="80" zoomScalePageLayoutView="0" workbookViewId="0" topLeftCell="A351">
      <selection activeCell="D351" sqref="D351"/>
    </sheetView>
  </sheetViews>
  <sheetFormatPr defaultColWidth="9.140625" defaultRowHeight="12.75"/>
  <cols>
    <col min="1" max="1" width="7.57421875" style="125" customWidth="1"/>
    <col min="2" max="3" width="10.28125" style="125" customWidth="1"/>
    <col min="4" max="4" width="76.8515625" style="125" customWidth="1"/>
    <col min="5" max="7" width="16.7109375" style="137" customWidth="1"/>
    <col min="8" max="8" width="11.421875" style="137" customWidth="1"/>
    <col min="9" max="9" width="9.140625" style="125" customWidth="1"/>
    <col min="10" max="10" width="24.8515625" style="125" customWidth="1"/>
    <col min="11" max="16384" width="9.140625" style="125" customWidth="1"/>
  </cols>
  <sheetData>
    <row r="1" spans="1:8" ht="21.75" customHeight="1">
      <c r="A1" s="356" t="s">
        <v>23</v>
      </c>
      <c r="B1" s="357"/>
      <c r="C1" s="357"/>
      <c r="D1" s="122"/>
      <c r="E1" s="123"/>
      <c r="F1" s="123"/>
      <c r="G1" s="124"/>
      <c r="H1" s="124"/>
    </row>
    <row r="2" spans="1:8" ht="12.75" customHeight="1">
      <c r="A2" s="126"/>
      <c r="B2" s="127"/>
      <c r="C2" s="126"/>
      <c r="D2" s="128"/>
      <c r="E2" s="123"/>
      <c r="F2" s="123"/>
      <c r="G2" s="123"/>
      <c r="H2" s="123"/>
    </row>
    <row r="3" spans="1:8" s="127" customFormat="1" ht="24" customHeight="1">
      <c r="A3" s="358" t="s">
        <v>74</v>
      </c>
      <c r="B3" s="358"/>
      <c r="C3" s="358"/>
      <c r="D3" s="357"/>
      <c r="E3" s="357"/>
      <c r="F3" s="310"/>
      <c r="G3" s="310"/>
      <c r="H3" s="310"/>
    </row>
    <row r="4" spans="1:8" s="127" customFormat="1" ht="15" customHeight="1" thickBot="1">
      <c r="A4" s="129"/>
      <c r="B4" s="129"/>
      <c r="C4" s="129"/>
      <c r="D4" s="129"/>
      <c r="E4" s="130"/>
      <c r="F4" s="130"/>
      <c r="G4" s="131" t="s">
        <v>75</v>
      </c>
      <c r="H4" s="130"/>
    </row>
    <row r="5" spans="1:8" ht="15.75">
      <c r="A5" s="311" t="s">
        <v>76</v>
      </c>
      <c r="B5" s="311" t="s">
        <v>77</v>
      </c>
      <c r="C5" s="311" t="s">
        <v>78</v>
      </c>
      <c r="D5" s="312" t="s">
        <v>79</v>
      </c>
      <c r="E5" s="313" t="s">
        <v>26</v>
      </c>
      <c r="F5" s="313" t="s">
        <v>26</v>
      </c>
      <c r="G5" s="313" t="s">
        <v>8</v>
      </c>
      <c r="H5" s="313" t="s">
        <v>80</v>
      </c>
    </row>
    <row r="6" spans="1:8" ht="15.75" customHeight="1" thickBot="1">
      <c r="A6" s="314"/>
      <c r="B6" s="314"/>
      <c r="C6" s="314"/>
      <c r="D6" s="315"/>
      <c r="E6" s="316" t="s">
        <v>28</v>
      </c>
      <c r="F6" s="316" t="s">
        <v>29</v>
      </c>
      <c r="G6" s="317" t="s">
        <v>30</v>
      </c>
      <c r="H6" s="316" t="s">
        <v>31</v>
      </c>
    </row>
    <row r="7" spans="1:8" ht="16.5" customHeight="1" thickTop="1">
      <c r="A7" s="132">
        <v>10</v>
      </c>
      <c r="B7" s="132"/>
      <c r="C7" s="132"/>
      <c r="D7" s="133" t="s">
        <v>81</v>
      </c>
      <c r="E7" s="134"/>
      <c r="F7" s="134"/>
      <c r="G7" s="134"/>
      <c r="H7" s="134"/>
    </row>
    <row r="8" spans="1:8" ht="15" customHeight="1">
      <c r="A8" s="132"/>
      <c r="B8" s="132"/>
      <c r="C8" s="132"/>
      <c r="D8" s="133"/>
      <c r="E8" s="134"/>
      <c r="F8" s="134"/>
      <c r="G8" s="134"/>
      <c r="H8" s="134"/>
    </row>
    <row r="9" spans="1:8" ht="15" customHeight="1" hidden="1">
      <c r="A9" s="135"/>
      <c r="B9" s="135"/>
      <c r="C9" s="135">
        <v>1344</v>
      </c>
      <c r="D9" s="135" t="s">
        <v>82</v>
      </c>
      <c r="E9" s="136">
        <v>0</v>
      </c>
      <c r="F9" s="136">
        <v>0</v>
      </c>
      <c r="G9" s="136"/>
      <c r="H9" s="136" t="e">
        <f aca="true" t="shared" si="0" ref="H9:H40">(G9/F9)*100</f>
        <v>#DIV/0!</v>
      </c>
    </row>
    <row r="10" spans="1:9" ht="15">
      <c r="A10" s="135"/>
      <c r="B10" s="135"/>
      <c r="C10" s="135">
        <v>1361</v>
      </c>
      <c r="D10" s="135" t="s">
        <v>43</v>
      </c>
      <c r="E10" s="136">
        <v>5</v>
      </c>
      <c r="F10" s="136">
        <v>5</v>
      </c>
      <c r="G10" s="136">
        <v>5</v>
      </c>
      <c r="H10" s="291">
        <f t="shared" si="0"/>
        <v>100</v>
      </c>
      <c r="I10" s="137"/>
    </row>
    <row r="11" spans="1:8" ht="15">
      <c r="A11" s="138">
        <v>34053</v>
      </c>
      <c r="B11" s="138"/>
      <c r="C11" s="138">
        <v>4116</v>
      </c>
      <c r="D11" s="135" t="s">
        <v>83</v>
      </c>
      <c r="E11" s="139">
        <v>0</v>
      </c>
      <c r="F11" s="139">
        <v>32</v>
      </c>
      <c r="G11" s="139">
        <v>32</v>
      </c>
      <c r="H11" s="291">
        <f t="shared" si="0"/>
        <v>100</v>
      </c>
    </row>
    <row r="12" spans="1:8" ht="15">
      <c r="A12" s="138">
        <v>34070</v>
      </c>
      <c r="B12" s="138"/>
      <c r="C12" s="138">
        <v>4116</v>
      </c>
      <c r="D12" s="135" t="s">
        <v>84</v>
      </c>
      <c r="E12" s="139">
        <v>0</v>
      </c>
      <c r="F12" s="139">
        <v>5</v>
      </c>
      <c r="G12" s="139">
        <v>5</v>
      </c>
      <c r="H12" s="291">
        <f t="shared" si="0"/>
        <v>100</v>
      </c>
    </row>
    <row r="13" spans="1:8" ht="15">
      <c r="A13" s="138">
        <v>33123</v>
      </c>
      <c r="B13" s="138"/>
      <c r="C13" s="138">
        <v>4116</v>
      </c>
      <c r="D13" s="135" t="s">
        <v>85</v>
      </c>
      <c r="E13" s="136">
        <v>0</v>
      </c>
      <c r="F13" s="136">
        <v>1322.6</v>
      </c>
      <c r="G13" s="136">
        <v>1322.5</v>
      </c>
      <c r="H13" s="291">
        <f t="shared" si="0"/>
        <v>99.99243913503706</v>
      </c>
    </row>
    <row r="14" spans="1:8" ht="15">
      <c r="A14" s="138"/>
      <c r="B14" s="138"/>
      <c r="C14" s="138">
        <v>4121</v>
      </c>
      <c r="D14" s="138" t="s">
        <v>86</v>
      </c>
      <c r="E14" s="139">
        <v>0</v>
      </c>
      <c r="F14" s="139">
        <v>131</v>
      </c>
      <c r="G14" s="136">
        <v>300</v>
      </c>
      <c r="H14" s="291">
        <f t="shared" si="0"/>
        <v>229.00763358778624</v>
      </c>
    </row>
    <row r="15" spans="1:9" ht="15">
      <c r="A15" s="138">
        <v>341</v>
      </c>
      <c r="B15" s="138"/>
      <c r="C15" s="138">
        <v>4122</v>
      </c>
      <c r="D15" s="138" t="s">
        <v>87</v>
      </c>
      <c r="E15" s="140">
        <v>0</v>
      </c>
      <c r="F15" s="140">
        <v>200</v>
      </c>
      <c r="G15" s="139">
        <v>200</v>
      </c>
      <c r="H15" s="291">
        <f t="shared" si="0"/>
        <v>100</v>
      </c>
      <c r="I15" s="137"/>
    </row>
    <row r="16" spans="1:8" ht="15">
      <c r="A16" s="138">
        <v>379</v>
      </c>
      <c r="B16" s="138"/>
      <c r="C16" s="138">
        <v>4122</v>
      </c>
      <c r="D16" s="138" t="s">
        <v>88</v>
      </c>
      <c r="E16" s="140">
        <v>0</v>
      </c>
      <c r="F16" s="140">
        <v>31</v>
      </c>
      <c r="G16" s="139">
        <v>31</v>
      </c>
      <c r="H16" s="291">
        <f t="shared" si="0"/>
        <v>100</v>
      </c>
    </row>
    <row r="17" spans="1:8" ht="15" customHeight="1">
      <c r="A17" s="135">
        <v>214</v>
      </c>
      <c r="B17" s="135"/>
      <c r="C17" s="135">
        <v>4122</v>
      </c>
      <c r="D17" s="138" t="s">
        <v>89</v>
      </c>
      <c r="E17" s="136">
        <v>0</v>
      </c>
      <c r="F17" s="136">
        <v>60</v>
      </c>
      <c r="G17" s="136">
        <v>60</v>
      </c>
      <c r="H17" s="291">
        <f t="shared" si="0"/>
        <v>100</v>
      </c>
    </row>
    <row r="18" spans="1:8" ht="15">
      <c r="A18" s="138">
        <v>33030</v>
      </c>
      <c r="B18" s="138"/>
      <c r="C18" s="138">
        <v>4122</v>
      </c>
      <c r="D18" s="138" t="s">
        <v>90</v>
      </c>
      <c r="E18" s="140">
        <v>0</v>
      </c>
      <c r="F18" s="140">
        <v>729</v>
      </c>
      <c r="G18" s="139">
        <v>728.7</v>
      </c>
      <c r="H18" s="291">
        <f t="shared" si="0"/>
        <v>99.95884773662553</v>
      </c>
    </row>
    <row r="19" spans="1:8" ht="15" hidden="1">
      <c r="A19" s="138">
        <v>33926</v>
      </c>
      <c r="B19" s="138"/>
      <c r="C19" s="138">
        <v>4222</v>
      </c>
      <c r="D19" s="138" t="s">
        <v>91</v>
      </c>
      <c r="E19" s="140"/>
      <c r="F19" s="140"/>
      <c r="G19" s="139"/>
      <c r="H19" s="291" t="e">
        <f t="shared" si="0"/>
        <v>#DIV/0!</v>
      </c>
    </row>
    <row r="20" spans="1:8" ht="15">
      <c r="A20" s="138"/>
      <c r="B20" s="138">
        <v>2143</v>
      </c>
      <c r="C20" s="138">
        <v>2111</v>
      </c>
      <c r="D20" s="138" t="s">
        <v>92</v>
      </c>
      <c r="E20" s="139">
        <v>400</v>
      </c>
      <c r="F20" s="139">
        <v>400</v>
      </c>
      <c r="G20" s="139">
        <v>504.2</v>
      </c>
      <c r="H20" s="291">
        <f t="shared" si="0"/>
        <v>126.05</v>
      </c>
    </row>
    <row r="21" spans="1:8" ht="15">
      <c r="A21" s="138"/>
      <c r="B21" s="138">
        <v>2143</v>
      </c>
      <c r="C21" s="138">
        <v>2112</v>
      </c>
      <c r="D21" s="138" t="s">
        <v>93</v>
      </c>
      <c r="E21" s="139">
        <v>200</v>
      </c>
      <c r="F21" s="139">
        <v>200</v>
      </c>
      <c r="G21" s="139">
        <v>257.3</v>
      </c>
      <c r="H21" s="291">
        <f t="shared" si="0"/>
        <v>128.65</v>
      </c>
    </row>
    <row r="22" spans="1:8" ht="15">
      <c r="A22" s="138"/>
      <c r="B22" s="138">
        <v>2143</v>
      </c>
      <c r="C22" s="138">
        <v>2212</v>
      </c>
      <c r="D22" s="138" t="s">
        <v>94</v>
      </c>
      <c r="E22" s="139">
        <v>120</v>
      </c>
      <c r="F22" s="139">
        <v>120</v>
      </c>
      <c r="G22" s="139">
        <v>120</v>
      </c>
      <c r="H22" s="291">
        <f t="shared" si="0"/>
        <v>100</v>
      </c>
    </row>
    <row r="23" spans="1:8" ht="15" hidden="1">
      <c r="A23" s="138"/>
      <c r="B23" s="138">
        <v>2143</v>
      </c>
      <c r="C23" s="138">
        <v>2324</v>
      </c>
      <c r="D23" s="138" t="s">
        <v>95</v>
      </c>
      <c r="E23" s="139">
        <v>0</v>
      </c>
      <c r="F23" s="139">
        <v>0</v>
      </c>
      <c r="G23" s="139"/>
      <c r="H23" s="291" t="e">
        <f t="shared" si="0"/>
        <v>#DIV/0!</v>
      </c>
    </row>
    <row r="24" spans="1:8" ht="15" hidden="1">
      <c r="A24" s="138"/>
      <c r="B24" s="138">
        <v>2143</v>
      </c>
      <c r="C24" s="138">
        <v>2329</v>
      </c>
      <c r="D24" s="138" t="s">
        <v>96</v>
      </c>
      <c r="E24" s="139"/>
      <c r="F24" s="139"/>
      <c r="G24" s="139"/>
      <c r="H24" s="291" t="e">
        <f t="shared" si="0"/>
        <v>#DIV/0!</v>
      </c>
    </row>
    <row r="25" spans="1:8" ht="15">
      <c r="A25" s="138"/>
      <c r="B25" s="138">
        <v>3111</v>
      </c>
      <c r="C25" s="138">
        <v>2122</v>
      </c>
      <c r="D25" s="138" t="s">
        <v>97</v>
      </c>
      <c r="E25" s="139">
        <v>0</v>
      </c>
      <c r="F25" s="139">
        <v>120</v>
      </c>
      <c r="G25" s="139">
        <v>120</v>
      </c>
      <c r="H25" s="291">
        <f t="shared" si="0"/>
        <v>100</v>
      </c>
    </row>
    <row r="26" spans="1:8" ht="15">
      <c r="A26" s="138"/>
      <c r="B26" s="138">
        <v>3113</v>
      </c>
      <c r="C26" s="138">
        <v>2119</v>
      </c>
      <c r="D26" s="138" t="s">
        <v>98</v>
      </c>
      <c r="E26" s="139">
        <v>0</v>
      </c>
      <c r="F26" s="139">
        <v>0</v>
      </c>
      <c r="G26" s="139">
        <v>134.4</v>
      </c>
      <c r="H26" s="291" t="e">
        <f t="shared" si="0"/>
        <v>#DIV/0!</v>
      </c>
    </row>
    <row r="27" spans="1:8" ht="15">
      <c r="A27" s="138"/>
      <c r="B27" s="138">
        <v>3113</v>
      </c>
      <c r="C27" s="138">
        <v>2122</v>
      </c>
      <c r="D27" s="138" t="s">
        <v>99</v>
      </c>
      <c r="E27" s="139">
        <v>1000</v>
      </c>
      <c r="F27" s="139">
        <v>1000</v>
      </c>
      <c r="G27" s="139">
        <v>1000</v>
      </c>
      <c r="H27" s="291">
        <f t="shared" si="0"/>
        <v>100</v>
      </c>
    </row>
    <row r="28" spans="1:9" ht="15">
      <c r="A28" s="138"/>
      <c r="B28" s="138">
        <v>3313</v>
      </c>
      <c r="C28" s="138">
        <v>2132</v>
      </c>
      <c r="D28" s="138" t="s">
        <v>100</v>
      </c>
      <c r="E28" s="139">
        <v>331.8</v>
      </c>
      <c r="F28" s="139">
        <v>331.8</v>
      </c>
      <c r="G28" s="139">
        <v>331.8</v>
      </c>
      <c r="H28" s="291">
        <f t="shared" si="0"/>
        <v>100</v>
      </c>
      <c r="I28" s="137"/>
    </row>
    <row r="29" spans="1:8" ht="15">
      <c r="A29" s="135"/>
      <c r="B29" s="135">
        <v>3313</v>
      </c>
      <c r="C29" s="135">
        <v>2133</v>
      </c>
      <c r="D29" s="135" t="s">
        <v>101</v>
      </c>
      <c r="E29" s="136">
        <v>18.2</v>
      </c>
      <c r="F29" s="136">
        <v>18.2</v>
      </c>
      <c r="G29" s="139">
        <v>18.2</v>
      </c>
      <c r="H29" s="291">
        <f t="shared" si="0"/>
        <v>100</v>
      </c>
    </row>
    <row r="30" spans="1:8" ht="15">
      <c r="A30" s="135"/>
      <c r="B30" s="135">
        <v>3313</v>
      </c>
      <c r="C30" s="135">
        <v>2324</v>
      </c>
      <c r="D30" s="135" t="s">
        <v>102</v>
      </c>
      <c r="E30" s="136">
        <v>0</v>
      </c>
      <c r="F30" s="136">
        <v>0</v>
      </c>
      <c r="G30" s="136">
        <v>96.8</v>
      </c>
      <c r="H30" s="291" t="e">
        <f t="shared" si="0"/>
        <v>#DIV/0!</v>
      </c>
    </row>
    <row r="31" spans="1:8" ht="15" hidden="1">
      <c r="A31" s="135"/>
      <c r="B31" s="135">
        <v>3392</v>
      </c>
      <c r="C31" s="135">
        <v>2329</v>
      </c>
      <c r="D31" s="135" t="s">
        <v>103</v>
      </c>
      <c r="E31" s="136"/>
      <c r="F31" s="136"/>
      <c r="G31" s="136"/>
      <c r="H31" s="291" t="e">
        <f t="shared" si="0"/>
        <v>#DIV/0!</v>
      </c>
    </row>
    <row r="32" spans="1:8" ht="15" hidden="1">
      <c r="A32" s="138"/>
      <c r="B32" s="138">
        <v>3314</v>
      </c>
      <c r="C32" s="138">
        <v>2229</v>
      </c>
      <c r="D32" s="138" t="s">
        <v>104</v>
      </c>
      <c r="E32" s="139"/>
      <c r="F32" s="139"/>
      <c r="G32" s="139"/>
      <c r="H32" s="291" t="e">
        <f t="shared" si="0"/>
        <v>#DIV/0!</v>
      </c>
    </row>
    <row r="33" spans="1:8" ht="15" hidden="1">
      <c r="A33" s="138"/>
      <c r="B33" s="138">
        <v>3315</v>
      </c>
      <c r="C33" s="138">
        <v>2322</v>
      </c>
      <c r="D33" s="138" t="s">
        <v>105</v>
      </c>
      <c r="E33" s="139"/>
      <c r="F33" s="139"/>
      <c r="G33" s="139"/>
      <c r="H33" s="291" t="e">
        <f t="shared" si="0"/>
        <v>#DIV/0!</v>
      </c>
    </row>
    <row r="34" spans="1:8" ht="15">
      <c r="A34" s="138"/>
      <c r="B34" s="138">
        <v>3319</v>
      </c>
      <c r="C34" s="138">
        <v>2324</v>
      </c>
      <c r="D34" s="138" t="s">
        <v>106</v>
      </c>
      <c r="E34" s="139">
        <v>0</v>
      </c>
      <c r="F34" s="139">
        <v>0</v>
      </c>
      <c r="G34" s="139">
        <v>5.8</v>
      </c>
      <c r="H34" s="291" t="e">
        <f t="shared" si="0"/>
        <v>#DIV/0!</v>
      </c>
    </row>
    <row r="35" spans="1:9" ht="15" customHeight="1" hidden="1">
      <c r="A35" s="135"/>
      <c r="B35" s="135">
        <v>3319</v>
      </c>
      <c r="C35" s="135">
        <v>2329</v>
      </c>
      <c r="D35" s="135" t="s">
        <v>107</v>
      </c>
      <c r="E35" s="136"/>
      <c r="F35" s="136"/>
      <c r="G35" s="136"/>
      <c r="H35" s="291" t="e">
        <f t="shared" si="0"/>
        <v>#DIV/0!</v>
      </c>
      <c r="I35" s="137"/>
    </row>
    <row r="36" spans="1:8" ht="15">
      <c r="A36" s="138"/>
      <c r="B36" s="138">
        <v>3326</v>
      </c>
      <c r="C36" s="138">
        <v>2212</v>
      </c>
      <c r="D36" s="138" t="s">
        <v>108</v>
      </c>
      <c r="E36" s="139">
        <v>20</v>
      </c>
      <c r="F36" s="139">
        <v>11</v>
      </c>
      <c r="G36" s="139">
        <v>11</v>
      </c>
      <c r="H36" s="291">
        <f t="shared" si="0"/>
        <v>100</v>
      </c>
    </row>
    <row r="37" spans="1:8" ht="15">
      <c r="A37" s="138"/>
      <c r="B37" s="138">
        <v>3326</v>
      </c>
      <c r="C37" s="138">
        <v>2324</v>
      </c>
      <c r="D37" s="138" t="s">
        <v>109</v>
      </c>
      <c r="E37" s="139">
        <v>2</v>
      </c>
      <c r="F37" s="139">
        <v>2</v>
      </c>
      <c r="G37" s="139">
        <v>3</v>
      </c>
      <c r="H37" s="291">
        <f t="shared" si="0"/>
        <v>150</v>
      </c>
    </row>
    <row r="38" spans="1:8" ht="15">
      <c r="A38" s="138"/>
      <c r="B38" s="138">
        <v>3399</v>
      </c>
      <c r="C38" s="138">
        <v>2111</v>
      </c>
      <c r="D38" s="138" t="s">
        <v>110</v>
      </c>
      <c r="E38" s="139">
        <v>200</v>
      </c>
      <c r="F38" s="139">
        <v>200</v>
      </c>
      <c r="G38" s="139">
        <v>203.4</v>
      </c>
      <c r="H38" s="291">
        <f t="shared" si="0"/>
        <v>101.70000000000002</v>
      </c>
    </row>
    <row r="39" spans="1:8" ht="15">
      <c r="A39" s="138"/>
      <c r="B39" s="138">
        <v>3399</v>
      </c>
      <c r="C39" s="138">
        <v>2112</v>
      </c>
      <c r="D39" s="138" t="s">
        <v>111</v>
      </c>
      <c r="E39" s="139">
        <v>0</v>
      </c>
      <c r="F39" s="139">
        <v>0</v>
      </c>
      <c r="G39" s="139">
        <v>3.6</v>
      </c>
      <c r="H39" s="291" t="e">
        <f t="shared" si="0"/>
        <v>#DIV/0!</v>
      </c>
    </row>
    <row r="40" spans="1:8" ht="15">
      <c r="A40" s="138"/>
      <c r="B40" s="138">
        <v>3399</v>
      </c>
      <c r="C40" s="138">
        <v>2133</v>
      </c>
      <c r="D40" s="138" t="s">
        <v>112</v>
      </c>
      <c r="E40" s="139">
        <v>50</v>
      </c>
      <c r="F40" s="139">
        <v>59</v>
      </c>
      <c r="G40" s="139">
        <v>63.3</v>
      </c>
      <c r="H40" s="291">
        <f t="shared" si="0"/>
        <v>107.28813559322032</v>
      </c>
    </row>
    <row r="41" spans="1:9" ht="15">
      <c r="A41" s="138"/>
      <c r="B41" s="138">
        <v>3399</v>
      </c>
      <c r="C41" s="138">
        <v>2321</v>
      </c>
      <c r="D41" s="138" t="s">
        <v>113</v>
      </c>
      <c r="E41" s="139">
        <v>120</v>
      </c>
      <c r="F41" s="139">
        <v>50</v>
      </c>
      <c r="G41" s="139">
        <v>50</v>
      </c>
      <c r="H41" s="291">
        <f aca="true" t="shared" si="1" ref="H41:H58">(G41/F41)*100</f>
        <v>100</v>
      </c>
      <c r="I41" s="137"/>
    </row>
    <row r="42" spans="1:8" ht="15">
      <c r="A42" s="138"/>
      <c r="B42" s="138">
        <v>3399</v>
      </c>
      <c r="C42" s="138">
        <v>2324</v>
      </c>
      <c r="D42" s="138" t="s">
        <v>114</v>
      </c>
      <c r="E42" s="139">
        <v>0</v>
      </c>
      <c r="F42" s="139">
        <v>70</v>
      </c>
      <c r="G42" s="139">
        <v>105.1</v>
      </c>
      <c r="H42" s="291">
        <f t="shared" si="1"/>
        <v>150.14285714285714</v>
      </c>
    </row>
    <row r="43" spans="1:8" ht="15">
      <c r="A43" s="135"/>
      <c r="B43" s="135">
        <v>3399</v>
      </c>
      <c r="C43" s="135">
        <v>2329</v>
      </c>
      <c r="D43" s="135" t="s">
        <v>115</v>
      </c>
      <c r="E43" s="139">
        <v>0</v>
      </c>
      <c r="F43" s="139">
        <v>26</v>
      </c>
      <c r="G43" s="139">
        <v>90.4</v>
      </c>
      <c r="H43" s="291">
        <f t="shared" si="1"/>
        <v>347.6923076923077</v>
      </c>
    </row>
    <row r="44" spans="1:8" ht="15" hidden="1">
      <c r="A44" s="135"/>
      <c r="B44" s="135">
        <v>3412</v>
      </c>
      <c r="C44" s="135">
        <v>2122</v>
      </c>
      <c r="D44" s="135" t="s">
        <v>116</v>
      </c>
      <c r="E44" s="139"/>
      <c r="F44" s="139"/>
      <c r="G44" s="139"/>
      <c r="H44" s="291" t="e">
        <f t="shared" si="1"/>
        <v>#DIV/0!</v>
      </c>
    </row>
    <row r="45" spans="1:8" ht="15" hidden="1">
      <c r="A45" s="138"/>
      <c r="B45" s="138">
        <v>3412</v>
      </c>
      <c r="C45" s="138">
        <v>2324</v>
      </c>
      <c r="D45" s="138" t="s">
        <v>117</v>
      </c>
      <c r="E45" s="139"/>
      <c r="F45" s="139"/>
      <c r="G45" s="139"/>
      <c r="H45" s="291" t="e">
        <f t="shared" si="1"/>
        <v>#DIV/0!</v>
      </c>
    </row>
    <row r="46" spans="1:8" ht="15" hidden="1">
      <c r="A46" s="138"/>
      <c r="B46" s="138">
        <v>3412</v>
      </c>
      <c r="C46" s="138">
        <v>2329</v>
      </c>
      <c r="D46" s="138" t="s">
        <v>118</v>
      </c>
      <c r="E46" s="139"/>
      <c r="F46" s="139"/>
      <c r="G46" s="139"/>
      <c r="H46" s="291" t="e">
        <f t="shared" si="1"/>
        <v>#DIV/0!</v>
      </c>
    </row>
    <row r="47" spans="1:8" ht="15">
      <c r="A47" s="138"/>
      <c r="B47" s="138">
        <v>3412</v>
      </c>
      <c r="C47" s="138">
        <v>2132</v>
      </c>
      <c r="D47" s="138" t="s">
        <v>119</v>
      </c>
      <c r="E47" s="139">
        <v>579.6</v>
      </c>
      <c r="F47" s="139">
        <v>436.9</v>
      </c>
      <c r="G47" s="136">
        <v>436.9</v>
      </c>
      <c r="H47" s="291">
        <f t="shared" si="1"/>
        <v>100</v>
      </c>
    </row>
    <row r="48" spans="1:9" ht="15">
      <c r="A48" s="138"/>
      <c r="B48" s="138">
        <v>3412</v>
      </c>
      <c r="C48" s="138">
        <v>2133</v>
      </c>
      <c r="D48" s="138" t="s">
        <v>120</v>
      </c>
      <c r="E48" s="139">
        <v>2.4</v>
      </c>
      <c r="F48" s="139">
        <v>13.1</v>
      </c>
      <c r="G48" s="136">
        <v>13.1</v>
      </c>
      <c r="H48" s="291">
        <f t="shared" si="1"/>
        <v>100</v>
      </c>
      <c r="I48" s="137"/>
    </row>
    <row r="49" spans="1:8" ht="15" hidden="1">
      <c r="A49" s="138"/>
      <c r="B49" s="138">
        <v>3412</v>
      </c>
      <c r="C49" s="138">
        <v>2229</v>
      </c>
      <c r="D49" s="138" t="s">
        <v>121</v>
      </c>
      <c r="E49" s="139"/>
      <c r="F49" s="139"/>
      <c r="G49" s="136"/>
      <c r="H49" s="291" t="e">
        <f t="shared" si="1"/>
        <v>#DIV/0!</v>
      </c>
    </row>
    <row r="50" spans="1:8" ht="15">
      <c r="A50" s="138"/>
      <c r="B50" s="138">
        <v>3412</v>
      </c>
      <c r="C50" s="138">
        <v>2324</v>
      </c>
      <c r="D50" s="138" t="s">
        <v>122</v>
      </c>
      <c r="E50" s="139">
        <v>0</v>
      </c>
      <c r="F50" s="139">
        <v>62</v>
      </c>
      <c r="G50" s="139">
        <v>62.3</v>
      </c>
      <c r="H50" s="291">
        <f t="shared" si="1"/>
        <v>100.48387096774194</v>
      </c>
    </row>
    <row r="51" spans="1:8" ht="15" hidden="1">
      <c r="A51" s="138"/>
      <c r="B51" s="138">
        <v>3419</v>
      </c>
      <c r="C51" s="138">
        <v>2132</v>
      </c>
      <c r="D51" s="138" t="s">
        <v>123</v>
      </c>
      <c r="E51" s="139"/>
      <c r="F51" s="139"/>
      <c r="G51" s="139"/>
      <c r="H51" s="291" t="e">
        <f t="shared" si="1"/>
        <v>#DIV/0!</v>
      </c>
    </row>
    <row r="52" spans="1:8" ht="15">
      <c r="A52" s="138"/>
      <c r="B52" s="138">
        <v>3419</v>
      </c>
      <c r="C52" s="138">
        <v>2229</v>
      </c>
      <c r="D52" s="138" t="s">
        <v>124</v>
      </c>
      <c r="E52" s="139">
        <v>0</v>
      </c>
      <c r="F52" s="139">
        <v>30</v>
      </c>
      <c r="G52" s="139">
        <v>30.7</v>
      </c>
      <c r="H52" s="291">
        <f t="shared" si="1"/>
        <v>102.33333333333331</v>
      </c>
    </row>
    <row r="53" spans="1:8" ht="15" hidden="1">
      <c r="A53" s="138"/>
      <c r="B53" s="138">
        <v>3421</v>
      </c>
      <c r="C53" s="138">
        <v>2132</v>
      </c>
      <c r="D53" s="138" t="s">
        <v>125</v>
      </c>
      <c r="E53" s="139"/>
      <c r="F53" s="139"/>
      <c r="G53" s="139"/>
      <c r="H53" s="291" t="e">
        <f t="shared" si="1"/>
        <v>#DIV/0!</v>
      </c>
    </row>
    <row r="54" spans="1:8" ht="15">
      <c r="A54" s="138"/>
      <c r="B54" s="138">
        <v>3421</v>
      </c>
      <c r="C54" s="138">
        <v>2229</v>
      </c>
      <c r="D54" s="138" t="s">
        <v>126</v>
      </c>
      <c r="E54" s="139">
        <v>0</v>
      </c>
      <c r="F54" s="139">
        <v>7</v>
      </c>
      <c r="G54" s="139">
        <v>7.3</v>
      </c>
      <c r="H54" s="291">
        <f t="shared" si="1"/>
        <v>104.28571428571429</v>
      </c>
    </row>
    <row r="55" spans="1:8" ht="15" hidden="1">
      <c r="A55" s="138"/>
      <c r="B55" s="138">
        <v>3421</v>
      </c>
      <c r="C55" s="138">
        <v>2324</v>
      </c>
      <c r="D55" s="138" t="s">
        <v>127</v>
      </c>
      <c r="E55" s="139"/>
      <c r="F55" s="139"/>
      <c r="G55" s="139"/>
      <c r="H55" s="291" t="e">
        <f t="shared" si="1"/>
        <v>#DIV/0!</v>
      </c>
    </row>
    <row r="56" spans="1:8" ht="15">
      <c r="A56" s="138"/>
      <c r="B56" s="138">
        <v>3429</v>
      </c>
      <c r="C56" s="138">
        <v>2229</v>
      </c>
      <c r="D56" s="138" t="s">
        <v>128</v>
      </c>
      <c r="E56" s="139">
        <v>0</v>
      </c>
      <c r="F56" s="139">
        <v>7</v>
      </c>
      <c r="G56" s="139">
        <v>7.5</v>
      </c>
      <c r="H56" s="291">
        <f t="shared" si="1"/>
        <v>107.14285714285714</v>
      </c>
    </row>
    <row r="57" spans="1:8" ht="15" hidden="1">
      <c r="A57" s="138"/>
      <c r="B57" s="138">
        <v>6171</v>
      </c>
      <c r="C57" s="138">
        <v>2212</v>
      </c>
      <c r="D57" s="138" t="s">
        <v>129</v>
      </c>
      <c r="E57" s="139"/>
      <c r="F57" s="139"/>
      <c r="G57" s="139"/>
      <c r="H57" s="291" t="e">
        <f t="shared" si="1"/>
        <v>#DIV/0!</v>
      </c>
    </row>
    <row r="58" spans="1:8" ht="15" customHeight="1">
      <c r="A58" s="135"/>
      <c r="B58" s="135">
        <v>6409</v>
      </c>
      <c r="C58" s="135">
        <v>2328</v>
      </c>
      <c r="D58" s="135" t="s">
        <v>130</v>
      </c>
      <c r="E58" s="136">
        <v>0</v>
      </c>
      <c r="F58" s="136">
        <v>0</v>
      </c>
      <c r="G58" s="136">
        <v>0</v>
      </c>
      <c r="H58" s="291" t="e">
        <f t="shared" si="1"/>
        <v>#DIV/0!</v>
      </c>
    </row>
    <row r="59" spans="1:8" ht="15" customHeight="1" thickBot="1">
      <c r="A59" s="141"/>
      <c r="B59" s="141"/>
      <c r="C59" s="141"/>
      <c r="D59" s="141"/>
      <c r="E59" s="142"/>
      <c r="F59" s="142"/>
      <c r="G59" s="142"/>
      <c r="H59" s="292"/>
    </row>
    <row r="60" spans="1:8" s="146" customFormat="1" ht="21.75" customHeight="1" thickBot="1" thickTop="1">
      <c r="A60" s="143"/>
      <c r="B60" s="143"/>
      <c r="C60" s="143"/>
      <c r="D60" s="144" t="s">
        <v>131</v>
      </c>
      <c r="E60" s="145">
        <f>SUM(E9:E58)</f>
        <v>3049</v>
      </c>
      <c r="F60" s="145">
        <f>SUM(F9:F58)</f>
        <v>5679.6</v>
      </c>
      <c r="G60" s="145">
        <f>SUM(G9:G58)</f>
        <v>6360.300000000001</v>
      </c>
      <c r="H60" s="293">
        <f>(G60/F60)*100</f>
        <v>111.9849989435876</v>
      </c>
    </row>
    <row r="61" spans="1:8" ht="15" customHeight="1">
      <c r="A61" s="146"/>
      <c r="B61" s="146"/>
      <c r="C61" s="146"/>
      <c r="D61" s="146"/>
      <c r="E61" s="147"/>
      <c r="F61" s="147"/>
      <c r="G61" s="147"/>
      <c r="H61" s="294"/>
    </row>
    <row r="62" spans="1:8" ht="15" customHeight="1">
      <c r="A62" s="146"/>
      <c r="B62" s="146"/>
      <c r="C62" s="146"/>
      <c r="D62" s="146"/>
      <c r="E62" s="147"/>
      <c r="F62" s="147"/>
      <c r="G62" s="147"/>
      <c r="H62" s="294"/>
    </row>
    <row r="63" spans="1:8" ht="15" customHeight="1" thickBot="1">
      <c r="A63" s="146"/>
      <c r="B63" s="146"/>
      <c r="C63" s="146"/>
      <c r="D63" s="146"/>
      <c r="E63" s="147"/>
      <c r="F63" s="147"/>
      <c r="G63" s="147"/>
      <c r="H63" s="294"/>
    </row>
    <row r="64" spans="1:8" ht="15.75">
      <c r="A64" s="311" t="s">
        <v>76</v>
      </c>
      <c r="B64" s="311" t="s">
        <v>77</v>
      </c>
      <c r="C64" s="311" t="s">
        <v>78</v>
      </c>
      <c r="D64" s="312" t="s">
        <v>79</v>
      </c>
      <c r="E64" s="313" t="s">
        <v>26</v>
      </c>
      <c r="F64" s="313" t="s">
        <v>26</v>
      </c>
      <c r="G64" s="313" t="s">
        <v>8</v>
      </c>
      <c r="H64" s="318" t="s">
        <v>80</v>
      </c>
    </row>
    <row r="65" spans="1:8" ht="15.75" customHeight="1" thickBot="1">
      <c r="A65" s="314"/>
      <c r="B65" s="314"/>
      <c r="C65" s="314"/>
      <c r="D65" s="315"/>
      <c r="E65" s="316" t="s">
        <v>28</v>
      </c>
      <c r="F65" s="316" t="s">
        <v>29</v>
      </c>
      <c r="G65" s="317" t="s">
        <v>30</v>
      </c>
      <c r="H65" s="319" t="s">
        <v>31</v>
      </c>
    </row>
    <row r="66" spans="1:8" ht="15.75" customHeight="1" thickTop="1">
      <c r="A66" s="148">
        <v>20</v>
      </c>
      <c r="B66" s="132"/>
      <c r="C66" s="132"/>
      <c r="D66" s="133" t="s">
        <v>132</v>
      </c>
      <c r="E66" s="134"/>
      <c r="F66" s="134"/>
      <c r="G66" s="134"/>
      <c r="H66" s="295"/>
    </row>
    <row r="67" spans="1:8" ht="15.75" customHeight="1">
      <c r="A67" s="148"/>
      <c r="B67" s="132"/>
      <c r="C67" s="132"/>
      <c r="D67" s="133"/>
      <c r="E67" s="134"/>
      <c r="F67" s="134"/>
      <c r="G67" s="134"/>
      <c r="H67" s="295"/>
    </row>
    <row r="68" spans="1:8" ht="15.75" customHeight="1" hidden="1">
      <c r="A68" s="148"/>
      <c r="B68" s="132"/>
      <c r="C68" s="149">
        <v>2420</v>
      </c>
      <c r="D68" s="150" t="s">
        <v>133</v>
      </c>
      <c r="E68" s="136">
        <v>0</v>
      </c>
      <c r="F68" s="136">
        <v>0</v>
      </c>
      <c r="G68" s="136"/>
      <c r="H68" s="291" t="e">
        <f aca="true" t="shared" si="2" ref="H68:H114">(G68/F68)*100</f>
        <v>#DIV/0!</v>
      </c>
    </row>
    <row r="69" spans="1:8" ht="15.75" customHeight="1">
      <c r="A69" s="148"/>
      <c r="B69" s="132"/>
      <c r="C69" s="149">
        <v>4113</v>
      </c>
      <c r="D69" s="150" t="s">
        <v>134</v>
      </c>
      <c r="E69" s="136">
        <v>0</v>
      </c>
      <c r="F69" s="136">
        <v>98.8</v>
      </c>
      <c r="G69" s="136">
        <v>98.7</v>
      </c>
      <c r="H69" s="291">
        <f t="shared" si="2"/>
        <v>99.89878542510122</v>
      </c>
    </row>
    <row r="70" spans="1:8" ht="15.75">
      <c r="A70" s="151">
        <v>14018</v>
      </c>
      <c r="B70" s="132"/>
      <c r="C70" s="152">
        <v>4116</v>
      </c>
      <c r="D70" s="153" t="s">
        <v>135</v>
      </c>
      <c r="E70" s="136">
        <v>0</v>
      </c>
      <c r="F70" s="136">
        <v>640</v>
      </c>
      <c r="G70" s="139">
        <v>640</v>
      </c>
      <c r="H70" s="291">
        <f t="shared" si="2"/>
        <v>100</v>
      </c>
    </row>
    <row r="71" spans="1:10" ht="15.75">
      <c r="A71" s="151"/>
      <c r="B71" s="132"/>
      <c r="C71" s="152">
        <v>4116</v>
      </c>
      <c r="D71" s="135" t="s">
        <v>136</v>
      </c>
      <c r="E71" s="136">
        <v>90</v>
      </c>
      <c r="F71" s="136">
        <v>2622.4</v>
      </c>
      <c r="G71" s="139">
        <v>2622.3</v>
      </c>
      <c r="H71" s="291">
        <f t="shared" si="2"/>
        <v>99.99618669920683</v>
      </c>
      <c r="J71" s="137"/>
    </row>
    <row r="72" spans="1:8" ht="15.75" customHeight="1">
      <c r="A72" s="151">
        <v>15374</v>
      </c>
      <c r="B72" s="132"/>
      <c r="C72" s="149">
        <v>4116</v>
      </c>
      <c r="D72" s="153" t="s">
        <v>137</v>
      </c>
      <c r="E72" s="134">
        <v>0</v>
      </c>
      <c r="F72" s="134">
        <v>1678.4</v>
      </c>
      <c r="G72" s="139">
        <v>1678.4</v>
      </c>
      <c r="H72" s="291">
        <f t="shared" si="2"/>
        <v>100</v>
      </c>
    </row>
    <row r="73" spans="1:8" ht="15" customHeight="1">
      <c r="A73" s="135">
        <v>221</v>
      </c>
      <c r="B73" s="135"/>
      <c r="C73" s="135">
        <v>4122</v>
      </c>
      <c r="D73" s="135" t="s">
        <v>138</v>
      </c>
      <c r="E73" s="136">
        <v>0</v>
      </c>
      <c r="F73" s="136">
        <v>70</v>
      </c>
      <c r="G73" s="136">
        <v>70</v>
      </c>
      <c r="H73" s="291">
        <f t="shared" si="2"/>
        <v>100</v>
      </c>
    </row>
    <row r="74" spans="1:8" ht="15.75">
      <c r="A74" s="151">
        <v>359</v>
      </c>
      <c r="B74" s="132"/>
      <c r="C74" s="149">
        <v>4122</v>
      </c>
      <c r="D74" s="153" t="s">
        <v>139</v>
      </c>
      <c r="E74" s="136">
        <v>0</v>
      </c>
      <c r="F74" s="136">
        <v>20</v>
      </c>
      <c r="G74" s="139">
        <v>20</v>
      </c>
      <c r="H74" s="291">
        <f t="shared" si="2"/>
        <v>100</v>
      </c>
    </row>
    <row r="75" spans="1:10" ht="15.75" customHeight="1">
      <c r="A75" s="151">
        <v>71024</v>
      </c>
      <c r="B75" s="132"/>
      <c r="C75" s="149">
        <v>4213</v>
      </c>
      <c r="D75" s="154" t="s">
        <v>140</v>
      </c>
      <c r="E75" s="134">
        <v>100</v>
      </c>
      <c r="F75" s="134">
        <v>0</v>
      </c>
      <c r="G75" s="139">
        <v>0</v>
      </c>
      <c r="H75" s="291" t="e">
        <f t="shared" si="2"/>
        <v>#DIV/0!</v>
      </c>
      <c r="J75" s="137"/>
    </row>
    <row r="76" spans="1:9" ht="15.75" customHeight="1">
      <c r="A76" s="151">
        <v>81012</v>
      </c>
      <c r="B76" s="132"/>
      <c r="C76" s="149">
        <v>4213</v>
      </c>
      <c r="D76" s="154" t="s">
        <v>141</v>
      </c>
      <c r="E76" s="134">
        <v>140</v>
      </c>
      <c r="F76" s="134">
        <v>2.7</v>
      </c>
      <c r="G76" s="139">
        <v>2.7</v>
      </c>
      <c r="H76" s="291">
        <f t="shared" si="2"/>
        <v>100</v>
      </c>
      <c r="I76" s="137"/>
    </row>
    <row r="77" spans="1:8" ht="15.75" customHeight="1">
      <c r="A77" s="151">
        <v>1036</v>
      </c>
      <c r="B77" s="132"/>
      <c r="C77" s="149">
        <v>4213</v>
      </c>
      <c r="D77" s="154" t="s">
        <v>142</v>
      </c>
      <c r="E77" s="134">
        <v>35</v>
      </c>
      <c r="F77" s="134">
        <v>29</v>
      </c>
      <c r="G77" s="139">
        <v>29</v>
      </c>
      <c r="H77" s="291">
        <f t="shared" si="2"/>
        <v>100</v>
      </c>
    </row>
    <row r="78" spans="1:8" ht="15" customHeight="1">
      <c r="A78" s="155">
        <v>1037</v>
      </c>
      <c r="B78" s="135"/>
      <c r="C78" s="135">
        <v>4213</v>
      </c>
      <c r="D78" s="135" t="s">
        <v>143</v>
      </c>
      <c r="E78" s="136">
        <v>0</v>
      </c>
      <c r="F78" s="136">
        <v>115</v>
      </c>
      <c r="G78" s="136">
        <v>115</v>
      </c>
      <c r="H78" s="291">
        <f t="shared" si="2"/>
        <v>100</v>
      </c>
    </row>
    <row r="79" spans="1:8" ht="15.75" customHeight="1">
      <c r="A79" s="151">
        <v>1046</v>
      </c>
      <c r="B79" s="132"/>
      <c r="C79" s="149">
        <v>4213</v>
      </c>
      <c r="D79" s="154" t="s">
        <v>144</v>
      </c>
      <c r="E79" s="134">
        <v>51</v>
      </c>
      <c r="F79" s="134">
        <v>0</v>
      </c>
      <c r="G79" s="139">
        <v>0</v>
      </c>
      <c r="H79" s="291" t="e">
        <f t="shared" si="2"/>
        <v>#DIV/0!</v>
      </c>
    </row>
    <row r="80" spans="1:8" ht="15.75" customHeight="1">
      <c r="A80" s="151">
        <v>1047</v>
      </c>
      <c r="B80" s="132"/>
      <c r="C80" s="149">
        <v>4213</v>
      </c>
      <c r="D80" s="154" t="s">
        <v>145</v>
      </c>
      <c r="E80" s="134">
        <v>321</v>
      </c>
      <c r="F80" s="134">
        <v>0</v>
      </c>
      <c r="G80" s="139">
        <v>0</v>
      </c>
      <c r="H80" s="291" t="e">
        <f t="shared" si="2"/>
        <v>#DIV/0!</v>
      </c>
    </row>
    <row r="81" spans="1:8" ht="15.75" customHeight="1">
      <c r="A81" s="151">
        <v>1047</v>
      </c>
      <c r="B81" s="132"/>
      <c r="C81" s="149">
        <v>4213</v>
      </c>
      <c r="D81" s="154" t="s">
        <v>146</v>
      </c>
      <c r="E81" s="134">
        <v>174</v>
      </c>
      <c r="F81" s="134">
        <v>0</v>
      </c>
      <c r="G81" s="139">
        <v>0</v>
      </c>
      <c r="H81" s="291" t="e">
        <f t="shared" si="2"/>
        <v>#DIV/0!</v>
      </c>
    </row>
    <row r="82" spans="1:8" ht="15">
      <c r="A82" s="156">
        <v>1054</v>
      </c>
      <c r="B82" s="135"/>
      <c r="C82" s="135">
        <v>4213</v>
      </c>
      <c r="D82" s="135" t="s">
        <v>147</v>
      </c>
      <c r="E82" s="136">
        <v>0</v>
      </c>
      <c r="F82" s="136">
        <v>2737.8</v>
      </c>
      <c r="G82" s="136">
        <v>2737.8</v>
      </c>
      <c r="H82" s="291">
        <f t="shared" si="2"/>
        <v>100</v>
      </c>
    </row>
    <row r="83" spans="1:8" ht="15">
      <c r="A83" s="156">
        <v>1055</v>
      </c>
      <c r="B83" s="135"/>
      <c r="C83" s="135">
        <v>4213</v>
      </c>
      <c r="D83" s="135" t="s">
        <v>148</v>
      </c>
      <c r="E83" s="136">
        <v>0</v>
      </c>
      <c r="F83" s="136">
        <v>66.9</v>
      </c>
      <c r="G83" s="136">
        <v>66.8</v>
      </c>
      <c r="H83" s="291">
        <f t="shared" si="2"/>
        <v>99.85052316890881</v>
      </c>
    </row>
    <row r="84" spans="1:8" ht="15">
      <c r="A84" s="156">
        <v>1056</v>
      </c>
      <c r="B84" s="135"/>
      <c r="C84" s="135">
        <v>4213</v>
      </c>
      <c r="D84" s="135" t="s">
        <v>149</v>
      </c>
      <c r="E84" s="136">
        <v>0</v>
      </c>
      <c r="F84" s="136">
        <v>77</v>
      </c>
      <c r="G84" s="136">
        <v>76.9</v>
      </c>
      <c r="H84" s="291">
        <f t="shared" si="2"/>
        <v>99.87012987012987</v>
      </c>
    </row>
    <row r="85" spans="1:8" ht="15.75">
      <c r="A85" s="151">
        <v>71024</v>
      </c>
      <c r="B85" s="132"/>
      <c r="C85" s="152">
        <v>4216</v>
      </c>
      <c r="D85" s="153" t="s">
        <v>150</v>
      </c>
      <c r="E85" s="136">
        <v>4300</v>
      </c>
      <c r="F85" s="136">
        <v>0</v>
      </c>
      <c r="G85" s="139">
        <v>0</v>
      </c>
      <c r="H85" s="291" t="e">
        <f t="shared" si="2"/>
        <v>#DIV/0!</v>
      </c>
    </row>
    <row r="86" spans="1:8" ht="15.75">
      <c r="A86" s="151">
        <v>81012</v>
      </c>
      <c r="B86" s="132"/>
      <c r="C86" s="152">
        <v>4216</v>
      </c>
      <c r="D86" s="153" t="s">
        <v>151</v>
      </c>
      <c r="E86" s="136">
        <v>2660</v>
      </c>
      <c r="F86" s="136">
        <v>45.9</v>
      </c>
      <c r="G86" s="139">
        <v>45.9</v>
      </c>
      <c r="H86" s="291">
        <f t="shared" si="2"/>
        <v>100</v>
      </c>
    </row>
    <row r="87" spans="1:8" ht="15">
      <c r="A87" s="156">
        <v>10025</v>
      </c>
      <c r="B87" s="135"/>
      <c r="C87" s="135">
        <v>4216</v>
      </c>
      <c r="D87" s="135" t="s">
        <v>152</v>
      </c>
      <c r="E87" s="136">
        <v>0</v>
      </c>
      <c r="F87" s="136">
        <v>555.6</v>
      </c>
      <c r="G87" s="136">
        <v>555.5</v>
      </c>
      <c r="H87" s="291">
        <f t="shared" si="2"/>
        <v>99.98200143988481</v>
      </c>
    </row>
    <row r="88" spans="1:8" ht="15.75">
      <c r="A88" s="151">
        <v>1036</v>
      </c>
      <c r="B88" s="132"/>
      <c r="C88" s="152">
        <v>4216</v>
      </c>
      <c r="D88" s="153" t="s">
        <v>153</v>
      </c>
      <c r="E88" s="136">
        <v>588</v>
      </c>
      <c r="F88" s="136">
        <v>492.8</v>
      </c>
      <c r="G88" s="139">
        <v>492.8</v>
      </c>
      <c r="H88" s="291">
        <f t="shared" si="2"/>
        <v>100</v>
      </c>
    </row>
    <row r="89" spans="1:8" ht="15.75">
      <c r="A89" s="151">
        <v>1045</v>
      </c>
      <c r="B89" s="132"/>
      <c r="C89" s="152">
        <v>4216</v>
      </c>
      <c r="D89" s="153" t="s">
        <v>154</v>
      </c>
      <c r="E89" s="136">
        <v>2125</v>
      </c>
      <c r="F89" s="136">
        <v>0</v>
      </c>
      <c r="G89" s="139">
        <v>0</v>
      </c>
      <c r="H89" s="291" t="e">
        <f t="shared" si="2"/>
        <v>#DIV/0!</v>
      </c>
    </row>
    <row r="90" spans="1:8" ht="15.75">
      <c r="A90" s="151">
        <v>1046</v>
      </c>
      <c r="B90" s="132"/>
      <c r="C90" s="152">
        <v>4216</v>
      </c>
      <c r="D90" s="153" t="s">
        <v>155</v>
      </c>
      <c r="E90" s="136">
        <v>882</v>
      </c>
      <c r="F90" s="136">
        <v>0</v>
      </c>
      <c r="G90" s="139">
        <v>0</v>
      </c>
      <c r="H90" s="291" t="e">
        <f t="shared" si="2"/>
        <v>#DIV/0!</v>
      </c>
    </row>
    <row r="91" spans="1:8" ht="15.75">
      <c r="A91" s="151">
        <v>1047</v>
      </c>
      <c r="B91" s="132"/>
      <c r="C91" s="152">
        <v>4216</v>
      </c>
      <c r="D91" s="153" t="s">
        <v>156</v>
      </c>
      <c r="E91" s="136">
        <v>5464</v>
      </c>
      <c r="F91" s="136">
        <v>0</v>
      </c>
      <c r="G91" s="139">
        <v>0</v>
      </c>
      <c r="H91" s="291" t="e">
        <f t="shared" si="2"/>
        <v>#DIV/0!</v>
      </c>
    </row>
    <row r="92" spans="1:8" ht="15.75">
      <c r="A92" s="151">
        <v>1048</v>
      </c>
      <c r="B92" s="132"/>
      <c r="C92" s="152">
        <v>4216</v>
      </c>
      <c r="D92" s="153" t="s">
        <v>157</v>
      </c>
      <c r="E92" s="136">
        <v>2959</v>
      </c>
      <c r="F92" s="136">
        <v>0</v>
      </c>
      <c r="G92" s="139">
        <v>0</v>
      </c>
      <c r="H92" s="291" t="e">
        <f t="shared" si="2"/>
        <v>#DIV/0!</v>
      </c>
    </row>
    <row r="93" spans="1:8" ht="15.75">
      <c r="A93" s="151">
        <v>1053</v>
      </c>
      <c r="B93" s="132"/>
      <c r="C93" s="152">
        <v>4216</v>
      </c>
      <c r="D93" s="153" t="s">
        <v>158</v>
      </c>
      <c r="E93" s="136">
        <v>0</v>
      </c>
      <c r="F93" s="136">
        <v>300</v>
      </c>
      <c r="G93" s="139">
        <v>300</v>
      </c>
      <c r="H93" s="291">
        <f t="shared" si="2"/>
        <v>100</v>
      </c>
    </row>
    <row r="94" spans="1:8" ht="15.75">
      <c r="A94" s="151">
        <v>1055</v>
      </c>
      <c r="B94" s="132"/>
      <c r="C94" s="152">
        <v>4216</v>
      </c>
      <c r="D94" s="153" t="s">
        <v>159</v>
      </c>
      <c r="E94" s="136">
        <v>0</v>
      </c>
      <c r="F94" s="136">
        <v>1136.3</v>
      </c>
      <c r="G94" s="139">
        <v>1136.2</v>
      </c>
      <c r="H94" s="291">
        <f t="shared" si="2"/>
        <v>99.99119950717241</v>
      </c>
    </row>
    <row r="95" spans="1:8" ht="15.75">
      <c r="A95" s="151">
        <v>1056</v>
      </c>
      <c r="B95" s="132"/>
      <c r="C95" s="152">
        <v>4216</v>
      </c>
      <c r="D95" s="157" t="s">
        <v>160</v>
      </c>
      <c r="E95" s="136">
        <v>0</v>
      </c>
      <c r="F95" s="136">
        <v>1307.4</v>
      </c>
      <c r="G95" s="139">
        <v>1307.4</v>
      </c>
      <c r="H95" s="291">
        <f t="shared" si="2"/>
        <v>100</v>
      </c>
    </row>
    <row r="96" spans="1:8" ht="15">
      <c r="A96" s="158">
        <v>1061</v>
      </c>
      <c r="B96" s="158"/>
      <c r="C96" s="152">
        <v>4216</v>
      </c>
      <c r="D96" s="157" t="s">
        <v>161</v>
      </c>
      <c r="E96" s="136">
        <v>0</v>
      </c>
      <c r="F96" s="136">
        <v>2320.7</v>
      </c>
      <c r="G96" s="139">
        <v>2320.7</v>
      </c>
      <c r="H96" s="291">
        <f t="shared" si="2"/>
        <v>100</v>
      </c>
    </row>
    <row r="97" spans="1:8" ht="15">
      <c r="A97" s="159">
        <v>1075</v>
      </c>
      <c r="B97" s="160"/>
      <c r="C97" s="155">
        <v>4216</v>
      </c>
      <c r="D97" s="157" t="s">
        <v>162</v>
      </c>
      <c r="E97" s="139">
        <v>0</v>
      </c>
      <c r="F97" s="139">
        <v>0</v>
      </c>
      <c r="G97" s="139">
        <v>0</v>
      </c>
      <c r="H97" s="291" t="e">
        <f t="shared" si="2"/>
        <v>#DIV/0!</v>
      </c>
    </row>
    <row r="98" spans="1:8" ht="15">
      <c r="A98" s="159">
        <v>433</v>
      </c>
      <c r="B98" s="160"/>
      <c r="C98" s="155">
        <v>4222</v>
      </c>
      <c r="D98" s="157" t="s">
        <v>163</v>
      </c>
      <c r="E98" s="139">
        <v>0</v>
      </c>
      <c r="F98" s="139">
        <v>20</v>
      </c>
      <c r="G98" s="139">
        <v>20</v>
      </c>
      <c r="H98" s="291">
        <f t="shared" si="2"/>
        <v>100</v>
      </c>
    </row>
    <row r="99" spans="1:8" ht="15">
      <c r="A99" s="159">
        <v>342</v>
      </c>
      <c r="B99" s="160"/>
      <c r="C99" s="155">
        <v>4222</v>
      </c>
      <c r="D99" s="157" t="s">
        <v>164</v>
      </c>
      <c r="E99" s="139">
        <v>0</v>
      </c>
      <c r="F99" s="139">
        <v>800</v>
      </c>
      <c r="G99" s="139">
        <v>800</v>
      </c>
      <c r="H99" s="291">
        <f t="shared" si="2"/>
        <v>100</v>
      </c>
    </row>
    <row r="100" spans="1:8" ht="15">
      <c r="A100" s="159"/>
      <c r="B100" s="160"/>
      <c r="C100" s="155">
        <v>4223</v>
      </c>
      <c r="D100" s="157" t="s">
        <v>165</v>
      </c>
      <c r="E100" s="139">
        <v>30000</v>
      </c>
      <c r="F100" s="139">
        <v>6001.9</v>
      </c>
      <c r="G100" s="139">
        <v>6001.9</v>
      </c>
      <c r="H100" s="291">
        <f t="shared" si="2"/>
        <v>100</v>
      </c>
    </row>
    <row r="101" spans="1:8" ht="15" hidden="1">
      <c r="A101" s="159"/>
      <c r="B101" s="160">
        <v>2212</v>
      </c>
      <c r="C101" s="155">
        <v>2322</v>
      </c>
      <c r="D101" s="157" t="s">
        <v>166</v>
      </c>
      <c r="E101" s="139"/>
      <c r="F101" s="139"/>
      <c r="G101" s="139"/>
      <c r="H101" s="291" t="e">
        <f t="shared" si="2"/>
        <v>#DIV/0!</v>
      </c>
    </row>
    <row r="102" spans="1:8" ht="15">
      <c r="A102" s="159"/>
      <c r="B102" s="160"/>
      <c r="C102" s="155">
        <v>4223</v>
      </c>
      <c r="D102" s="157" t="s">
        <v>167</v>
      </c>
      <c r="E102" s="139">
        <v>0</v>
      </c>
      <c r="F102" s="139">
        <v>0</v>
      </c>
      <c r="G102" s="139">
        <v>0</v>
      </c>
      <c r="H102" s="291" t="e">
        <f t="shared" si="2"/>
        <v>#DIV/0!</v>
      </c>
    </row>
    <row r="103" spans="1:8" ht="15">
      <c r="A103" s="159"/>
      <c r="B103" s="160">
        <v>2169</v>
      </c>
      <c r="C103" s="155">
        <v>2212</v>
      </c>
      <c r="D103" s="157" t="s">
        <v>168</v>
      </c>
      <c r="E103" s="139">
        <v>0</v>
      </c>
      <c r="F103" s="139">
        <v>0</v>
      </c>
      <c r="G103" s="139">
        <v>100</v>
      </c>
      <c r="H103" s="291" t="e">
        <f t="shared" si="2"/>
        <v>#DIV/0!</v>
      </c>
    </row>
    <row r="104" spans="1:8" ht="15">
      <c r="A104" s="159"/>
      <c r="B104" s="160">
        <v>2212</v>
      </c>
      <c r="C104" s="155">
        <v>2324</v>
      </c>
      <c r="D104" s="157" t="s">
        <v>169</v>
      </c>
      <c r="E104" s="139">
        <v>0</v>
      </c>
      <c r="F104" s="139">
        <v>0</v>
      </c>
      <c r="G104" s="139">
        <v>17.1</v>
      </c>
      <c r="H104" s="291" t="e">
        <f t="shared" si="2"/>
        <v>#DIV/0!</v>
      </c>
    </row>
    <row r="105" spans="1:8" ht="15" customHeight="1" hidden="1">
      <c r="A105" s="159"/>
      <c r="B105" s="160">
        <v>2219</v>
      </c>
      <c r="C105" s="161">
        <v>2321</v>
      </c>
      <c r="D105" s="157" t="s">
        <v>170</v>
      </c>
      <c r="E105" s="139"/>
      <c r="F105" s="139"/>
      <c r="G105" s="139"/>
      <c r="H105" s="291" t="e">
        <f t="shared" si="2"/>
        <v>#DIV/0!</v>
      </c>
    </row>
    <row r="106" spans="1:8" ht="15" customHeight="1" hidden="1">
      <c r="A106" s="159"/>
      <c r="B106" s="160">
        <v>2219</v>
      </c>
      <c r="C106" s="155">
        <v>2324</v>
      </c>
      <c r="D106" s="157" t="s">
        <v>171</v>
      </c>
      <c r="E106" s="139"/>
      <c r="F106" s="139"/>
      <c r="G106" s="139"/>
      <c r="H106" s="291" t="e">
        <f t="shared" si="2"/>
        <v>#DIV/0!</v>
      </c>
    </row>
    <row r="107" spans="1:8" ht="15">
      <c r="A107" s="159"/>
      <c r="B107" s="160">
        <v>2221</v>
      </c>
      <c r="C107" s="161">
        <v>2329</v>
      </c>
      <c r="D107" s="157" t="s">
        <v>172</v>
      </c>
      <c r="E107" s="139">
        <v>0</v>
      </c>
      <c r="F107" s="139">
        <v>0</v>
      </c>
      <c r="G107" s="139">
        <v>17.7</v>
      </c>
      <c r="H107" s="291" t="e">
        <f t="shared" si="2"/>
        <v>#DIV/0!</v>
      </c>
    </row>
    <row r="108" spans="1:8" ht="15">
      <c r="A108" s="156"/>
      <c r="B108" s="135">
        <v>3421</v>
      </c>
      <c r="C108" s="135">
        <v>2111</v>
      </c>
      <c r="D108" s="135" t="s">
        <v>173</v>
      </c>
      <c r="E108" s="136">
        <v>0</v>
      </c>
      <c r="F108" s="136">
        <v>0</v>
      </c>
      <c r="G108" s="136">
        <v>12.1</v>
      </c>
      <c r="H108" s="291" t="e">
        <f t="shared" si="2"/>
        <v>#DIV/0!</v>
      </c>
    </row>
    <row r="109" spans="1:8" ht="15">
      <c r="A109" s="156"/>
      <c r="B109" s="135">
        <v>3421</v>
      </c>
      <c r="C109" s="135">
        <v>3121</v>
      </c>
      <c r="D109" s="135" t="s">
        <v>174</v>
      </c>
      <c r="E109" s="136">
        <v>0</v>
      </c>
      <c r="F109" s="136">
        <v>450</v>
      </c>
      <c r="G109" s="139">
        <v>450</v>
      </c>
      <c r="H109" s="291">
        <f t="shared" si="2"/>
        <v>100</v>
      </c>
    </row>
    <row r="110" spans="1:8" ht="15">
      <c r="A110" s="156"/>
      <c r="B110" s="135">
        <v>3631</v>
      </c>
      <c r="C110" s="135">
        <v>2322</v>
      </c>
      <c r="D110" s="135" t="s">
        <v>175</v>
      </c>
      <c r="E110" s="136">
        <v>0</v>
      </c>
      <c r="F110" s="136">
        <v>0</v>
      </c>
      <c r="G110" s="139">
        <v>7.3</v>
      </c>
      <c r="H110" s="291" t="e">
        <f t="shared" si="2"/>
        <v>#DIV/0!</v>
      </c>
    </row>
    <row r="111" spans="1:8" ht="15">
      <c r="A111" s="162"/>
      <c r="B111" s="155">
        <v>3631</v>
      </c>
      <c r="C111" s="135">
        <v>2324</v>
      </c>
      <c r="D111" s="135" t="s">
        <v>176</v>
      </c>
      <c r="E111" s="136">
        <v>0</v>
      </c>
      <c r="F111" s="136">
        <v>1016.8</v>
      </c>
      <c r="G111" s="136">
        <v>1016.8</v>
      </c>
      <c r="H111" s="291">
        <f t="shared" si="2"/>
        <v>100</v>
      </c>
    </row>
    <row r="112" spans="1:8" ht="15">
      <c r="A112" s="159"/>
      <c r="B112" s="160">
        <v>3635</v>
      </c>
      <c r="C112" s="155">
        <v>3122</v>
      </c>
      <c r="D112" s="157" t="s">
        <v>177</v>
      </c>
      <c r="E112" s="139">
        <v>0</v>
      </c>
      <c r="F112" s="139">
        <v>0</v>
      </c>
      <c r="G112" s="139">
        <v>260.2</v>
      </c>
      <c r="H112" s="291" t="e">
        <f t="shared" si="2"/>
        <v>#DIV/0!</v>
      </c>
    </row>
    <row r="113" spans="1:8" ht="15">
      <c r="A113" s="162"/>
      <c r="B113" s="155">
        <v>3725</v>
      </c>
      <c r="C113" s="135">
        <v>2324</v>
      </c>
      <c r="D113" s="135" t="s">
        <v>178</v>
      </c>
      <c r="E113" s="136">
        <v>2000</v>
      </c>
      <c r="F113" s="136">
        <v>2000</v>
      </c>
      <c r="G113" s="136">
        <v>2022.6</v>
      </c>
      <c r="H113" s="291">
        <f t="shared" si="2"/>
        <v>101.12999999999998</v>
      </c>
    </row>
    <row r="114" spans="1:8" ht="15">
      <c r="A114" s="162"/>
      <c r="B114" s="155">
        <v>3745</v>
      </c>
      <c r="C114" s="135">
        <v>2324</v>
      </c>
      <c r="D114" s="135" t="s">
        <v>179</v>
      </c>
      <c r="E114" s="136">
        <v>0</v>
      </c>
      <c r="F114" s="136">
        <v>0</v>
      </c>
      <c r="G114" s="136">
        <v>46.6</v>
      </c>
      <c r="H114" s="291" t="e">
        <f t="shared" si="2"/>
        <v>#DIV/0!</v>
      </c>
    </row>
    <row r="115" spans="1:8" ht="15.75" thickBot="1">
      <c r="A115" s="163"/>
      <c r="B115" s="141"/>
      <c r="C115" s="141"/>
      <c r="D115" s="141"/>
      <c r="E115" s="142"/>
      <c r="F115" s="142"/>
      <c r="G115" s="142"/>
      <c r="H115" s="292"/>
    </row>
    <row r="116" spans="1:8" s="146" customFormat="1" ht="21.75" customHeight="1" thickBot="1" thickTop="1">
      <c r="A116" s="164"/>
      <c r="B116" s="143"/>
      <c r="C116" s="143"/>
      <c r="D116" s="144" t="s">
        <v>180</v>
      </c>
      <c r="E116" s="145">
        <f>SUM(E68:E115)</f>
        <v>51889</v>
      </c>
      <c r="F116" s="145">
        <f>SUM(F68:F115)</f>
        <v>24605.399999999998</v>
      </c>
      <c r="G116" s="145">
        <f>SUM(G68:G115)</f>
        <v>25088.399999999994</v>
      </c>
      <c r="H116" s="293">
        <f>(G116/F116)*100</f>
        <v>101.96298373527762</v>
      </c>
    </row>
    <row r="117" spans="1:8" ht="15" customHeight="1">
      <c r="A117" s="165"/>
      <c r="B117" s="165"/>
      <c r="C117" s="165"/>
      <c r="D117" s="128"/>
      <c r="E117" s="166"/>
      <c r="F117" s="166"/>
      <c r="G117" s="124"/>
      <c r="H117" s="296"/>
    </row>
    <row r="118" spans="1:8" ht="15" customHeight="1" hidden="1">
      <c r="A118" s="165"/>
      <c r="B118" s="165"/>
      <c r="C118" s="165"/>
      <c r="D118" s="128"/>
      <c r="E118" s="166"/>
      <c r="F118" s="166"/>
      <c r="G118" s="166"/>
      <c r="H118" s="297"/>
    </row>
    <row r="119" spans="1:8" ht="15" customHeight="1" thickBot="1">
      <c r="A119" s="165"/>
      <c r="B119" s="165"/>
      <c r="C119" s="165"/>
      <c r="D119" s="128"/>
      <c r="E119" s="166"/>
      <c r="F119" s="166"/>
      <c r="G119" s="166"/>
      <c r="H119" s="297"/>
    </row>
    <row r="120" spans="1:8" ht="15.75">
      <c r="A120" s="311" t="s">
        <v>76</v>
      </c>
      <c r="B120" s="311" t="s">
        <v>77</v>
      </c>
      <c r="C120" s="311" t="s">
        <v>78</v>
      </c>
      <c r="D120" s="312" t="s">
        <v>79</v>
      </c>
      <c r="E120" s="313" t="s">
        <v>26</v>
      </c>
      <c r="F120" s="313" t="s">
        <v>26</v>
      </c>
      <c r="G120" s="313" t="s">
        <v>8</v>
      </c>
      <c r="H120" s="318" t="s">
        <v>80</v>
      </c>
    </row>
    <row r="121" spans="1:8" ht="15.75" customHeight="1" thickBot="1">
      <c r="A121" s="314"/>
      <c r="B121" s="314"/>
      <c r="C121" s="314"/>
      <c r="D121" s="315"/>
      <c r="E121" s="316" t="s">
        <v>28</v>
      </c>
      <c r="F121" s="316" t="s">
        <v>29</v>
      </c>
      <c r="G121" s="317" t="s">
        <v>30</v>
      </c>
      <c r="H121" s="319" t="s">
        <v>31</v>
      </c>
    </row>
    <row r="122" spans="1:8" ht="16.5" customHeight="1" thickTop="1">
      <c r="A122" s="148">
        <v>30</v>
      </c>
      <c r="B122" s="132"/>
      <c r="C122" s="132"/>
      <c r="D122" s="133" t="s">
        <v>181</v>
      </c>
      <c r="E122" s="167"/>
      <c r="F122" s="167"/>
      <c r="G122" s="167"/>
      <c r="H122" s="298"/>
    </row>
    <row r="123" spans="1:8" ht="15" customHeight="1">
      <c r="A123" s="168"/>
      <c r="B123" s="169"/>
      <c r="C123" s="169"/>
      <c r="D123" s="169"/>
      <c r="E123" s="136"/>
      <c r="F123" s="136"/>
      <c r="G123" s="136"/>
      <c r="H123" s="291"/>
    </row>
    <row r="124" spans="1:8" ht="15" hidden="1">
      <c r="A124" s="156"/>
      <c r="B124" s="135"/>
      <c r="C124" s="135">
        <v>1361</v>
      </c>
      <c r="D124" s="135" t="s">
        <v>43</v>
      </c>
      <c r="E124" s="170"/>
      <c r="F124" s="170"/>
      <c r="G124" s="170"/>
      <c r="H124" s="291" t="e">
        <f aca="true" t="shared" si="3" ref="H124:H157">(G124/F124)*100</f>
        <v>#DIV/0!</v>
      </c>
    </row>
    <row r="125" spans="1:8" ht="15">
      <c r="A125" s="156"/>
      <c r="B125" s="135"/>
      <c r="C125" s="135">
        <v>2460</v>
      </c>
      <c r="D125" s="135" t="s">
        <v>182</v>
      </c>
      <c r="E125" s="170">
        <v>0</v>
      </c>
      <c r="F125" s="170">
        <v>15</v>
      </c>
      <c r="G125" s="170">
        <v>13</v>
      </c>
      <c r="H125" s="291">
        <f t="shared" si="3"/>
        <v>86.66666666666667</v>
      </c>
    </row>
    <row r="126" spans="1:8" ht="15" customHeight="1" hidden="1">
      <c r="A126" s="156">
        <v>98071</v>
      </c>
      <c r="B126" s="135"/>
      <c r="C126" s="135">
        <v>4111</v>
      </c>
      <c r="D126" s="135" t="s">
        <v>183</v>
      </c>
      <c r="E126" s="170"/>
      <c r="F126" s="170"/>
      <c r="G126" s="170"/>
      <c r="H126" s="291" t="e">
        <f t="shared" si="3"/>
        <v>#DIV/0!</v>
      </c>
    </row>
    <row r="127" spans="1:8" ht="15" customHeight="1" hidden="1">
      <c r="A127" s="156">
        <v>98187</v>
      </c>
      <c r="B127" s="135"/>
      <c r="C127" s="135">
        <v>4111</v>
      </c>
      <c r="D127" s="135" t="s">
        <v>184</v>
      </c>
      <c r="E127" s="170"/>
      <c r="F127" s="170"/>
      <c r="G127" s="170"/>
      <c r="H127" s="291" t="e">
        <f t="shared" si="3"/>
        <v>#DIV/0!</v>
      </c>
    </row>
    <row r="128" spans="1:8" ht="15" hidden="1">
      <c r="A128" s="156">
        <v>98007</v>
      </c>
      <c r="B128" s="135"/>
      <c r="C128" s="135">
        <v>4111</v>
      </c>
      <c r="D128" s="135" t="s">
        <v>185</v>
      </c>
      <c r="E128" s="136"/>
      <c r="F128" s="136"/>
      <c r="G128" s="136"/>
      <c r="H128" s="291" t="e">
        <f t="shared" si="3"/>
        <v>#DIV/0!</v>
      </c>
    </row>
    <row r="129" spans="1:8" ht="15">
      <c r="A129" s="156">
        <v>98008</v>
      </c>
      <c r="B129" s="135"/>
      <c r="C129" s="135">
        <v>4111</v>
      </c>
      <c r="D129" s="135" t="s">
        <v>186</v>
      </c>
      <c r="E129" s="136">
        <v>0</v>
      </c>
      <c r="F129" s="136">
        <v>469.4</v>
      </c>
      <c r="G129" s="136">
        <v>469.4</v>
      </c>
      <c r="H129" s="291">
        <f t="shared" si="3"/>
        <v>100</v>
      </c>
    </row>
    <row r="130" spans="1:8" ht="15">
      <c r="A130" s="156">
        <v>98071</v>
      </c>
      <c r="B130" s="135"/>
      <c r="C130" s="135">
        <v>4111</v>
      </c>
      <c r="D130" s="135" t="s">
        <v>187</v>
      </c>
      <c r="E130" s="134">
        <v>0</v>
      </c>
      <c r="F130" s="134">
        <v>653</v>
      </c>
      <c r="G130" s="136">
        <v>653</v>
      </c>
      <c r="H130" s="291">
        <f t="shared" si="3"/>
        <v>100</v>
      </c>
    </row>
    <row r="131" spans="1:8" ht="15" customHeight="1">
      <c r="A131" s="156">
        <v>13011</v>
      </c>
      <c r="B131" s="135"/>
      <c r="C131" s="135">
        <v>4116</v>
      </c>
      <c r="D131" s="135" t="s">
        <v>188</v>
      </c>
      <c r="E131" s="170">
        <v>0</v>
      </c>
      <c r="F131" s="170">
        <v>4807.4</v>
      </c>
      <c r="G131" s="170">
        <v>4807.5</v>
      </c>
      <c r="H131" s="291">
        <f t="shared" si="3"/>
        <v>100.0020801264717</v>
      </c>
    </row>
    <row r="132" spans="1:8" ht="14.25" customHeight="1" hidden="1">
      <c r="A132" s="156">
        <v>27003</v>
      </c>
      <c r="B132" s="135"/>
      <c r="C132" s="135">
        <v>4116</v>
      </c>
      <c r="D132" s="135" t="s">
        <v>189</v>
      </c>
      <c r="E132" s="170"/>
      <c r="F132" s="170"/>
      <c r="G132" s="170"/>
      <c r="H132" s="291" t="e">
        <f t="shared" si="3"/>
        <v>#DIV/0!</v>
      </c>
    </row>
    <row r="133" spans="1:8" ht="15" customHeight="1" hidden="1">
      <c r="A133" s="156"/>
      <c r="B133" s="135"/>
      <c r="C133" s="135">
        <v>4121</v>
      </c>
      <c r="D133" s="135" t="s">
        <v>190</v>
      </c>
      <c r="E133" s="170"/>
      <c r="F133" s="170"/>
      <c r="G133" s="170"/>
      <c r="H133" s="291" t="e">
        <f t="shared" si="3"/>
        <v>#DIV/0!</v>
      </c>
    </row>
    <row r="134" spans="1:8" ht="15" customHeight="1" hidden="1">
      <c r="A134" s="156"/>
      <c r="B134" s="135"/>
      <c r="C134" s="135">
        <v>4122</v>
      </c>
      <c r="D134" s="135" t="s">
        <v>191</v>
      </c>
      <c r="E134" s="170"/>
      <c r="F134" s="170"/>
      <c r="G134" s="170"/>
      <c r="H134" s="291" t="e">
        <f t="shared" si="3"/>
        <v>#DIV/0!</v>
      </c>
    </row>
    <row r="135" spans="1:8" ht="15" hidden="1">
      <c r="A135" s="156"/>
      <c r="B135" s="135"/>
      <c r="C135" s="135">
        <v>4132</v>
      </c>
      <c r="D135" s="135" t="s">
        <v>192</v>
      </c>
      <c r="E135" s="170"/>
      <c r="F135" s="170"/>
      <c r="G135" s="170"/>
      <c r="H135" s="291" t="e">
        <f t="shared" si="3"/>
        <v>#DIV/0!</v>
      </c>
    </row>
    <row r="136" spans="1:8" ht="15" hidden="1">
      <c r="A136" s="156"/>
      <c r="B136" s="135"/>
      <c r="C136" s="135">
        <v>4216</v>
      </c>
      <c r="D136" s="135" t="s">
        <v>193</v>
      </c>
      <c r="E136" s="170"/>
      <c r="F136" s="170"/>
      <c r="G136" s="170"/>
      <c r="H136" s="291" t="e">
        <f t="shared" si="3"/>
        <v>#DIV/0!</v>
      </c>
    </row>
    <row r="137" spans="1:8" ht="15" customHeight="1" hidden="1">
      <c r="A137" s="156"/>
      <c r="B137" s="135"/>
      <c r="C137" s="135">
        <v>4222</v>
      </c>
      <c r="D137" s="135" t="s">
        <v>194</v>
      </c>
      <c r="E137" s="170"/>
      <c r="F137" s="170"/>
      <c r="G137" s="170"/>
      <c r="H137" s="291" t="e">
        <f t="shared" si="3"/>
        <v>#DIV/0!</v>
      </c>
    </row>
    <row r="138" spans="1:8" ht="15" customHeight="1">
      <c r="A138" s="135">
        <v>14013</v>
      </c>
      <c r="B138" s="135"/>
      <c r="C138" s="135">
        <v>4116</v>
      </c>
      <c r="D138" s="135" t="s">
        <v>195</v>
      </c>
      <c r="E138" s="136">
        <v>0</v>
      </c>
      <c r="F138" s="136">
        <v>2916</v>
      </c>
      <c r="G138" s="136">
        <v>2916</v>
      </c>
      <c r="H138" s="291">
        <f t="shared" si="3"/>
        <v>100</v>
      </c>
    </row>
    <row r="139" spans="1:8" ht="15" customHeight="1">
      <c r="A139" s="156">
        <v>14004</v>
      </c>
      <c r="B139" s="135"/>
      <c r="C139" s="135">
        <v>4122</v>
      </c>
      <c r="D139" s="135" t="s">
        <v>196</v>
      </c>
      <c r="E139" s="134">
        <v>0</v>
      </c>
      <c r="F139" s="134">
        <v>83.9</v>
      </c>
      <c r="G139" s="134">
        <v>83.8</v>
      </c>
      <c r="H139" s="291">
        <f t="shared" si="3"/>
        <v>99.88081048867699</v>
      </c>
    </row>
    <row r="140" spans="1:8" ht="15" customHeight="1">
      <c r="A140" s="156">
        <v>14022</v>
      </c>
      <c r="B140" s="135"/>
      <c r="C140" s="135">
        <v>4122</v>
      </c>
      <c r="D140" s="135" t="s">
        <v>197</v>
      </c>
      <c r="E140" s="134">
        <v>0</v>
      </c>
      <c r="F140" s="134">
        <v>99.5</v>
      </c>
      <c r="G140" s="134">
        <v>99.5</v>
      </c>
      <c r="H140" s="291">
        <f t="shared" si="3"/>
        <v>100</v>
      </c>
    </row>
    <row r="141" spans="1:8" ht="15">
      <c r="A141" s="156"/>
      <c r="B141" s="135">
        <v>3341</v>
      </c>
      <c r="C141" s="135">
        <v>2111</v>
      </c>
      <c r="D141" s="135" t="s">
        <v>198</v>
      </c>
      <c r="E141" s="171">
        <v>3</v>
      </c>
      <c r="F141" s="171">
        <v>3</v>
      </c>
      <c r="G141" s="171">
        <v>3.6</v>
      </c>
      <c r="H141" s="291">
        <f t="shared" si="3"/>
        <v>120</v>
      </c>
    </row>
    <row r="142" spans="1:8" ht="15">
      <c r="A142" s="156"/>
      <c r="B142" s="135">
        <v>3349</v>
      </c>
      <c r="C142" s="135">
        <v>2111</v>
      </c>
      <c r="D142" s="135" t="s">
        <v>199</v>
      </c>
      <c r="E142" s="171">
        <v>900</v>
      </c>
      <c r="F142" s="171">
        <v>900</v>
      </c>
      <c r="G142" s="171">
        <v>949.9</v>
      </c>
      <c r="H142" s="291">
        <f t="shared" si="3"/>
        <v>105.54444444444444</v>
      </c>
    </row>
    <row r="143" spans="1:8" ht="15" hidden="1">
      <c r="A143" s="156"/>
      <c r="B143" s="135">
        <v>5512</v>
      </c>
      <c r="C143" s="135">
        <v>2132</v>
      </c>
      <c r="D143" s="135" t="s">
        <v>200</v>
      </c>
      <c r="E143" s="136"/>
      <c r="F143" s="136"/>
      <c r="G143" s="136"/>
      <c r="H143" s="291" t="e">
        <f t="shared" si="3"/>
        <v>#DIV/0!</v>
      </c>
    </row>
    <row r="144" spans="1:8" ht="15">
      <c r="A144" s="156"/>
      <c r="B144" s="135">
        <v>5512</v>
      </c>
      <c r="C144" s="135">
        <v>2324</v>
      </c>
      <c r="D144" s="135" t="s">
        <v>201</v>
      </c>
      <c r="E144" s="136">
        <v>0</v>
      </c>
      <c r="F144" s="136">
        <v>0</v>
      </c>
      <c r="G144" s="136">
        <v>20.2</v>
      </c>
      <c r="H144" s="291" t="e">
        <f t="shared" si="3"/>
        <v>#DIV/0!</v>
      </c>
    </row>
    <row r="145" spans="1:8" ht="15" hidden="1">
      <c r="A145" s="156"/>
      <c r="B145" s="135">
        <v>5512</v>
      </c>
      <c r="C145" s="135">
        <v>3113</v>
      </c>
      <c r="D145" s="135" t="s">
        <v>202</v>
      </c>
      <c r="E145" s="136"/>
      <c r="F145" s="136"/>
      <c r="G145" s="134"/>
      <c r="H145" s="291" t="e">
        <f t="shared" si="3"/>
        <v>#DIV/0!</v>
      </c>
    </row>
    <row r="146" spans="1:8" ht="15">
      <c r="A146" s="156"/>
      <c r="B146" s="135">
        <v>6171</v>
      </c>
      <c r="C146" s="135">
        <v>2111</v>
      </c>
      <c r="D146" s="135" t="s">
        <v>203</v>
      </c>
      <c r="E146" s="171">
        <v>150</v>
      </c>
      <c r="F146" s="171">
        <v>150</v>
      </c>
      <c r="G146" s="171">
        <v>183.6</v>
      </c>
      <c r="H146" s="291">
        <f t="shared" si="3"/>
        <v>122.39999999999999</v>
      </c>
    </row>
    <row r="147" spans="1:8" ht="15">
      <c r="A147" s="156"/>
      <c r="B147" s="135">
        <v>6171</v>
      </c>
      <c r="C147" s="135">
        <v>2132</v>
      </c>
      <c r="D147" s="135" t="s">
        <v>204</v>
      </c>
      <c r="E147" s="136">
        <v>60</v>
      </c>
      <c r="F147" s="136">
        <v>60</v>
      </c>
      <c r="G147" s="136">
        <v>108.5</v>
      </c>
      <c r="H147" s="291">
        <f t="shared" si="3"/>
        <v>180.83333333333334</v>
      </c>
    </row>
    <row r="148" spans="1:8" ht="15" hidden="1">
      <c r="A148" s="156"/>
      <c r="B148" s="135">
        <v>6171</v>
      </c>
      <c r="C148" s="135">
        <v>2210</v>
      </c>
      <c r="D148" s="135" t="s">
        <v>205</v>
      </c>
      <c r="E148" s="139"/>
      <c r="F148" s="139"/>
      <c r="G148" s="139"/>
      <c r="H148" s="291" t="e">
        <f t="shared" si="3"/>
        <v>#DIV/0!</v>
      </c>
    </row>
    <row r="149" spans="1:8" ht="15" hidden="1">
      <c r="A149" s="156"/>
      <c r="B149" s="135">
        <v>6171</v>
      </c>
      <c r="C149" s="135">
        <v>2310</v>
      </c>
      <c r="D149" s="135" t="s">
        <v>206</v>
      </c>
      <c r="E149" s="136"/>
      <c r="F149" s="136"/>
      <c r="G149" s="136"/>
      <c r="H149" s="291" t="e">
        <f t="shared" si="3"/>
        <v>#DIV/0!</v>
      </c>
    </row>
    <row r="150" spans="1:8" ht="15" hidden="1">
      <c r="A150" s="156"/>
      <c r="B150" s="135">
        <v>6171</v>
      </c>
      <c r="C150" s="135">
        <v>2310</v>
      </c>
      <c r="D150" s="135" t="s">
        <v>206</v>
      </c>
      <c r="E150" s="136"/>
      <c r="F150" s="136"/>
      <c r="G150" s="136"/>
      <c r="H150" s="291" t="e">
        <f t="shared" si="3"/>
        <v>#DIV/0!</v>
      </c>
    </row>
    <row r="151" spans="1:8" ht="15" hidden="1">
      <c r="A151" s="156"/>
      <c r="B151" s="135">
        <v>6171</v>
      </c>
      <c r="C151" s="135">
        <v>2133</v>
      </c>
      <c r="D151" s="135" t="s">
        <v>207</v>
      </c>
      <c r="E151" s="171"/>
      <c r="F151" s="171"/>
      <c r="G151" s="171"/>
      <c r="H151" s="291" t="e">
        <f t="shared" si="3"/>
        <v>#DIV/0!</v>
      </c>
    </row>
    <row r="152" spans="1:8" ht="15" hidden="1">
      <c r="A152" s="156"/>
      <c r="B152" s="135">
        <v>6171</v>
      </c>
      <c r="C152" s="135">
        <v>2310</v>
      </c>
      <c r="D152" s="135" t="s">
        <v>208</v>
      </c>
      <c r="E152" s="171"/>
      <c r="F152" s="171"/>
      <c r="G152" s="171"/>
      <c r="H152" s="291" t="e">
        <f t="shared" si="3"/>
        <v>#DIV/0!</v>
      </c>
    </row>
    <row r="153" spans="1:8" ht="15" hidden="1">
      <c r="A153" s="156"/>
      <c r="B153" s="135">
        <v>6171</v>
      </c>
      <c r="C153" s="135">
        <v>2322</v>
      </c>
      <c r="D153" s="135" t="s">
        <v>209</v>
      </c>
      <c r="E153" s="136"/>
      <c r="F153" s="136"/>
      <c r="G153" s="136"/>
      <c r="H153" s="291" t="e">
        <f t="shared" si="3"/>
        <v>#DIV/0!</v>
      </c>
    </row>
    <row r="154" spans="1:8" ht="15">
      <c r="A154" s="156"/>
      <c r="B154" s="135">
        <v>6171</v>
      </c>
      <c r="C154" s="135">
        <v>2324</v>
      </c>
      <c r="D154" s="135" t="s">
        <v>210</v>
      </c>
      <c r="E154" s="136">
        <v>50</v>
      </c>
      <c r="F154" s="136">
        <v>841.6</v>
      </c>
      <c r="G154" s="136">
        <v>993.8</v>
      </c>
      <c r="H154" s="291">
        <f t="shared" si="3"/>
        <v>118.08460076045625</v>
      </c>
    </row>
    <row r="155" spans="1:8" ht="15">
      <c r="A155" s="156"/>
      <c r="B155" s="135">
        <v>6171</v>
      </c>
      <c r="C155" s="135">
        <v>2329</v>
      </c>
      <c r="D155" s="135" t="s">
        <v>211</v>
      </c>
      <c r="E155" s="136">
        <v>0</v>
      </c>
      <c r="F155" s="136">
        <v>0</v>
      </c>
      <c r="G155" s="136">
        <v>6.1</v>
      </c>
      <c r="H155" s="291" t="e">
        <f t="shared" si="3"/>
        <v>#DIV/0!</v>
      </c>
    </row>
    <row r="156" spans="1:8" ht="15">
      <c r="A156" s="156"/>
      <c r="B156" s="135">
        <v>6409</v>
      </c>
      <c r="C156" s="135">
        <v>2328</v>
      </c>
      <c r="D156" s="135" t="s">
        <v>212</v>
      </c>
      <c r="E156" s="136">
        <v>0</v>
      </c>
      <c r="F156" s="136">
        <v>0</v>
      </c>
      <c r="G156" s="136">
        <v>0</v>
      </c>
      <c r="H156" s="291" t="e">
        <f t="shared" si="3"/>
        <v>#DIV/0!</v>
      </c>
    </row>
    <row r="157" spans="1:8" ht="15" hidden="1">
      <c r="A157" s="156"/>
      <c r="B157" s="135"/>
      <c r="C157" s="135"/>
      <c r="D157" s="135"/>
      <c r="E157" s="136">
        <v>0</v>
      </c>
      <c r="F157" s="136">
        <v>0</v>
      </c>
      <c r="G157" s="136"/>
      <c r="H157" s="291" t="e">
        <f t="shared" si="3"/>
        <v>#DIV/0!</v>
      </c>
    </row>
    <row r="158" spans="1:8" ht="15.75" thickBot="1">
      <c r="A158" s="172"/>
      <c r="B158" s="173"/>
      <c r="C158" s="173"/>
      <c r="D158" s="173"/>
      <c r="E158" s="174"/>
      <c r="F158" s="174"/>
      <c r="G158" s="174"/>
      <c r="H158" s="299"/>
    </row>
    <row r="159" spans="1:8" s="146" customFormat="1" ht="21.75" customHeight="1" thickBot="1" thickTop="1">
      <c r="A159" s="175"/>
      <c r="B159" s="176"/>
      <c r="C159" s="176"/>
      <c r="D159" s="177" t="s">
        <v>213</v>
      </c>
      <c r="E159" s="178">
        <f>SUM(E124:E158)</f>
        <v>1163</v>
      </c>
      <c r="F159" s="178">
        <f>SUM(F124:F158)</f>
        <v>10998.8</v>
      </c>
      <c r="G159" s="178">
        <f>SUM(G123:G158)</f>
        <v>11307.9</v>
      </c>
      <c r="H159" s="300">
        <f>(G159/F159)*100</f>
        <v>102.81030657889951</v>
      </c>
    </row>
    <row r="160" spans="1:8" ht="15" customHeight="1">
      <c r="A160" s="165"/>
      <c r="B160" s="165"/>
      <c r="C160" s="165"/>
      <c r="D160" s="128"/>
      <c r="E160" s="166"/>
      <c r="F160" s="166"/>
      <c r="G160" s="166"/>
      <c r="H160" s="297"/>
    </row>
    <row r="161" spans="1:8" ht="15" customHeight="1" hidden="1">
      <c r="A161" s="165"/>
      <c r="B161" s="165"/>
      <c r="C161" s="165"/>
      <c r="D161" s="128"/>
      <c r="E161" s="166"/>
      <c r="F161" s="166"/>
      <c r="G161" s="166"/>
      <c r="H161" s="297"/>
    </row>
    <row r="162" spans="1:8" ht="12.75" customHeight="1" hidden="1">
      <c r="A162" s="165"/>
      <c r="B162" s="165"/>
      <c r="C162" s="165"/>
      <c r="D162" s="128"/>
      <c r="E162" s="166"/>
      <c r="F162" s="166"/>
      <c r="G162" s="166"/>
      <c r="H162" s="297"/>
    </row>
    <row r="163" spans="1:8" ht="15" customHeight="1" thickBot="1">
      <c r="A163" s="165"/>
      <c r="B163" s="165"/>
      <c r="C163" s="165"/>
      <c r="D163" s="128"/>
      <c r="E163" s="166"/>
      <c r="F163" s="166"/>
      <c r="G163" s="166"/>
      <c r="H163" s="297"/>
    </row>
    <row r="164" spans="1:8" ht="15.75">
      <c r="A164" s="311" t="s">
        <v>76</v>
      </c>
      <c r="B164" s="311" t="s">
        <v>77</v>
      </c>
      <c r="C164" s="311" t="s">
        <v>78</v>
      </c>
      <c r="D164" s="312" t="s">
        <v>79</v>
      </c>
      <c r="E164" s="313" t="s">
        <v>26</v>
      </c>
      <c r="F164" s="313" t="s">
        <v>26</v>
      </c>
      <c r="G164" s="313" t="s">
        <v>8</v>
      </c>
      <c r="H164" s="318" t="s">
        <v>80</v>
      </c>
    </row>
    <row r="165" spans="1:8" ht="15.75" customHeight="1" thickBot="1">
      <c r="A165" s="314"/>
      <c r="B165" s="314"/>
      <c r="C165" s="314"/>
      <c r="D165" s="315"/>
      <c r="E165" s="316" t="s">
        <v>28</v>
      </c>
      <c r="F165" s="316" t="s">
        <v>29</v>
      </c>
      <c r="G165" s="317" t="s">
        <v>30</v>
      </c>
      <c r="H165" s="319" t="s">
        <v>31</v>
      </c>
    </row>
    <row r="166" spans="1:8" ht="16.5" customHeight="1" thickTop="1">
      <c r="A166" s="132">
        <v>50</v>
      </c>
      <c r="B166" s="132"/>
      <c r="C166" s="132"/>
      <c r="D166" s="133" t="s">
        <v>214</v>
      </c>
      <c r="E166" s="134"/>
      <c r="F166" s="134"/>
      <c r="G166" s="134"/>
      <c r="H166" s="295"/>
    </row>
    <row r="167" spans="1:8" ht="15" customHeight="1">
      <c r="A167" s="135"/>
      <c r="B167" s="135"/>
      <c r="C167" s="135"/>
      <c r="D167" s="169"/>
      <c r="E167" s="136"/>
      <c r="F167" s="136"/>
      <c r="G167" s="136"/>
      <c r="H167" s="291"/>
    </row>
    <row r="168" spans="1:8" ht="15" hidden="1">
      <c r="A168" s="135"/>
      <c r="B168" s="135"/>
      <c r="C168" s="135">
        <v>1361</v>
      </c>
      <c r="D168" s="135" t="s">
        <v>43</v>
      </c>
      <c r="E168" s="136"/>
      <c r="F168" s="136"/>
      <c r="G168" s="136"/>
      <c r="H168" s="291" t="e">
        <f aca="true" t="shared" si="4" ref="H168:H185">(G168/F168)*100</f>
        <v>#DIV/0!</v>
      </c>
    </row>
    <row r="169" spans="1:8" ht="15">
      <c r="A169" s="135"/>
      <c r="B169" s="135"/>
      <c r="C169" s="135">
        <v>2451</v>
      </c>
      <c r="D169" s="135" t="s">
        <v>215</v>
      </c>
      <c r="E169" s="136">
        <v>4000</v>
      </c>
      <c r="F169" s="136">
        <v>4000</v>
      </c>
      <c r="G169" s="136">
        <v>4000</v>
      </c>
      <c r="H169" s="291">
        <f t="shared" si="4"/>
        <v>100</v>
      </c>
    </row>
    <row r="170" spans="1:8" ht="15">
      <c r="A170" s="135">
        <v>13010</v>
      </c>
      <c r="B170" s="135"/>
      <c r="C170" s="135">
        <v>4116</v>
      </c>
      <c r="D170" s="135" t="s">
        <v>216</v>
      </c>
      <c r="E170" s="136">
        <v>0</v>
      </c>
      <c r="F170" s="136">
        <v>272</v>
      </c>
      <c r="G170" s="136">
        <v>272</v>
      </c>
      <c r="H170" s="291">
        <f t="shared" si="4"/>
        <v>100</v>
      </c>
    </row>
    <row r="171" spans="1:8" ht="15" hidden="1">
      <c r="A171" s="135">
        <v>434</v>
      </c>
      <c r="B171" s="135"/>
      <c r="C171" s="135">
        <v>4122</v>
      </c>
      <c r="D171" s="135" t="s">
        <v>217</v>
      </c>
      <c r="E171" s="136"/>
      <c r="F171" s="136"/>
      <c r="G171" s="136"/>
      <c r="H171" s="291" t="e">
        <f t="shared" si="4"/>
        <v>#DIV/0!</v>
      </c>
    </row>
    <row r="172" spans="1:8" ht="15" customHeight="1">
      <c r="A172" s="135"/>
      <c r="B172" s="135">
        <v>3599</v>
      </c>
      <c r="C172" s="135">
        <v>2324</v>
      </c>
      <c r="D172" s="135" t="s">
        <v>218</v>
      </c>
      <c r="E172" s="136">
        <v>3</v>
      </c>
      <c r="F172" s="136">
        <v>3</v>
      </c>
      <c r="G172" s="136">
        <v>3.9</v>
      </c>
      <c r="H172" s="291">
        <f t="shared" si="4"/>
        <v>130</v>
      </c>
    </row>
    <row r="173" spans="1:8" ht="15" customHeight="1">
      <c r="A173" s="135"/>
      <c r="B173" s="135">
        <v>4171</v>
      </c>
      <c r="C173" s="135">
        <v>2229</v>
      </c>
      <c r="D173" s="135" t="s">
        <v>219</v>
      </c>
      <c r="E173" s="136">
        <v>0</v>
      </c>
      <c r="F173" s="136">
        <v>0</v>
      </c>
      <c r="G173" s="136">
        <v>18.2</v>
      </c>
      <c r="H173" s="291" t="e">
        <f t="shared" si="4"/>
        <v>#DIV/0!</v>
      </c>
    </row>
    <row r="174" spans="1:8" ht="15" customHeight="1">
      <c r="A174" s="135"/>
      <c r="B174" s="135">
        <v>4179</v>
      </c>
      <c r="C174" s="135">
        <v>2229</v>
      </c>
      <c r="D174" s="135" t="s">
        <v>220</v>
      </c>
      <c r="E174" s="136">
        <v>0</v>
      </c>
      <c r="F174" s="136">
        <v>0</v>
      </c>
      <c r="G174" s="136">
        <v>0.5</v>
      </c>
      <c r="H174" s="291" t="e">
        <f t="shared" si="4"/>
        <v>#DIV/0!</v>
      </c>
    </row>
    <row r="175" spans="1:8" ht="15">
      <c r="A175" s="135"/>
      <c r="B175" s="135">
        <v>4195</v>
      </c>
      <c r="C175" s="135">
        <v>2229</v>
      </c>
      <c r="D175" s="135" t="s">
        <v>221</v>
      </c>
      <c r="E175" s="136">
        <v>0</v>
      </c>
      <c r="F175" s="136">
        <v>0</v>
      </c>
      <c r="G175" s="136">
        <v>24</v>
      </c>
      <c r="H175" s="291" t="e">
        <f t="shared" si="4"/>
        <v>#DIV/0!</v>
      </c>
    </row>
    <row r="176" spans="1:8" ht="15" hidden="1">
      <c r="A176" s="135"/>
      <c r="B176" s="135">
        <v>4329</v>
      </c>
      <c r="C176" s="135">
        <v>2229</v>
      </c>
      <c r="D176" s="135" t="s">
        <v>222</v>
      </c>
      <c r="E176" s="136"/>
      <c r="F176" s="136"/>
      <c r="G176" s="136"/>
      <c r="H176" s="291" t="e">
        <f t="shared" si="4"/>
        <v>#DIV/0!</v>
      </c>
    </row>
    <row r="177" spans="1:8" ht="15" hidden="1">
      <c r="A177" s="135"/>
      <c r="B177" s="135">
        <v>4329</v>
      </c>
      <c r="C177" s="135">
        <v>2324</v>
      </c>
      <c r="D177" s="135" t="s">
        <v>223</v>
      </c>
      <c r="E177" s="136"/>
      <c r="F177" s="136"/>
      <c r="G177" s="136"/>
      <c r="H177" s="291" t="e">
        <f t="shared" si="4"/>
        <v>#DIV/0!</v>
      </c>
    </row>
    <row r="178" spans="1:8" ht="15" hidden="1">
      <c r="A178" s="135"/>
      <c r="B178" s="135">
        <v>4342</v>
      </c>
      <c r="C178" s="135">
        <v>2324</v>
      </c>
      <c r="D178" s="135" t="s">
        <v>224</v>
      </c>
      <c r="E178" s="136"/>
      <c r="F178" s="136"/>
      <c r="G178" s="136"/>
      <c r="H178" s="291" t="e">
        <f t="shared" si="4"/>
        <v>#DIV/0!</v>
      </c>
    </row>
    <row r="179" spans="1:8" ht="15" hidden="1">
      <c r="A179" s="135"/>
      <c r="B179" s="135">
        <v>4349</v>
      </c>
      <c r="C179" s="135">
        <v>2229</v>
      </c>
      <c r="D179" s="135" t="s">
        <v>225</v>
      </c>
      <c r="E179" s="136"/>
      <c r="F179" s="136"/>
      <c r="G179" s="136"/>
      <c r="H179" s="291" t="e">
        <f t="shared" si="4"/>
        <v>#DIV/0!</v>
      </c>
    </row>
    <row r="180" spans="1:8" ht="15" hidden="1">
      <c r="A180" s="135"/>
      <c r="B180" s="135">
        <v>4399</v>
      </c>
      <c r="C180" s="135">
        <v>2111</v>
      </c>
      <c r="D180" s="135" t="s">
        <v>226</v>
      </c>
      <c r="E180" s="136"/>
      <c r="F180" s="136"/>
      <c r="G180" s="136"/>
      <c r="H180" s="291" t="e">
        <f t="shared" si="4"/>
        <v>#DIV/0!</v>
      </c>
    </row>
    <row r="181" spans="1:8" ht="15" hidden="1">
      <c r="A181" s="135"/>
      <c r="B181" s="135">
        <v>6171</v>
      </c>
      <c r="C181" s="135">
        <v>2111</v>
      </c>
      <c r="D181" s="135" t="s">
        <v>227</v>
      </c>
      <c r="E181" s="136"/>
      <c r="F181" s="136"/>
      <c r="G181" s="136"/>
      <c r="H181" s="291" t="e">
        <f t="shared" si="4"/>
        <v>#DIV/0!</v>
      </c>
    </row>
    <row r="182" spans="1:8" ht="15">
      <c r="A182" s="135"/>
      <c r="B182" s="135">
        <v>4379</v>
      </c>
      <c r="C182" s="135">
        <v>2212</v>
      </c>
      <c r="D182" s="135" t="s">
        <v>228</v>
      </c>
      <c r="E182" s="136">
        <v>10</v>
      </c>
      <c r="F182" s="136">
        <v>10</v>
      </c>
      <c r="G182" s="136">
        <v>29.9</v>
      </c>
      <c r="H182" s="291">
        <f t="shared" si="4"/>
        <v>299</v>
      </c>
    </row>
    <row r="183" spans="1:8" ht="15">
      <c r="A183" s="138"/>
      <c r="B183" s="138">
        <v>4399</v>
      </c>
      <c r="C183" s="138">
        <v>2324</v>
      </c>
      <c r="D183" s="138" t="s">
        <v>229</v>
      </c>
      <c r="E183" s="139">
        <v>0</v>
      </c>
      <c r="F183" s="139">
        <v>0</v>
      </c>
      <c r="G183" s="136">
        <v>10</v>
      </c>
      <c r="H183" s="291" t="e">
        <f t="shared" si="4"/>
        <v>#DIV/0!</v>
      </c>
    </row>
    <row r="184" spans="1:8" ht="15" hidden="1">
      <c r="A184" s="135"/>
      <c r="B184" s="135">
        <v>6171</v>
      </c>
      <c r="C184" s="135">
        <v>2212</v>
      </c>
      <c r="D184" s="135" t="s">
        <v>228</v>
      </c>
      <c r="E184" s="136"/>
      <c r="F184" s="136"/>
      <c r="G184" s="136"/>
      <c r="H184" s="291" t="e">
        <f t="shared" si="4"/>
        <v>#DIV/0!</v>
      </c>
    </row>
    <row r="185" spans="1:8" ht="15">
      <c r="A185" s="138"/>
      <c r="B185" s="135">
        <v>6171</v>
      </c>
      <c r="C185" s="135">
        <v>2324</v>
      </c>
      <c r="D185" s="135" t="s">
        <v>230</v>
      </c>
      <c r="E185" s="136">
        <v>8</v>
      </c>
      <c r="F185" s="136">
        <v>8</v>
      </c>
      <c r="G185" s="136">
        <v>2</v>
      </c>
      <c r="H185" s="291">
        <f t="shared" si="4"/>
        <v>25</v>
      </c>
    </row>
    <row r="186" spans="1:8" ht="15" customHeight="1" thickBot="1">
      <c r="A186" s="173"/>
      <c r="B186" s="173"/>
      <c r="C186" s="173"/>
      <c r="D186" s="173"/>
      <c r="E186" s="174"/>
      <c r="F186" s="174"/>
      <c r="G186" s="174"/>
      <c r="H186" s="291"/>
    </row>
    <row r="187" spans="1:8" s="146" customFormat="1" ht="21.75" customHeight="1" thickBot="1" thickTop="1">
      <c r="A187" s="176"/>
      <c r="B187" s="176"/>
      <c r="C187" s="176"/>
      <c r="D187" s="177" t="s">
        <v>231</v>
      </c>
      <c r="E187" s="178">
        <f>SUM(E167:E186)</f>
        <v>4021</v>
      </c>
      <c r="F187" s="178">
        <f>SUM(F167:F186)</f>
        <v>4293</v>
      </c>
      <c r="G187" s="178">
        <f>SUM(G167:G186)</f>
        <v>4360.499999999999</v>
      </c>
      <c r="H187" s="293">
        <f>(G187/F187)*100</f>
        <v>101.57232704402514</v>
      </c>
    </row>
    <row r="188" spans="1:8" ht="15" customHeight="1">
      <c r="A188" s="165"/>
      <c r="B188" s="146"/>
      <c r="C188" s="165"/>
      <c r="D188" s="179"/>
      <c r="E188" s="166"/>
      <c r="F188" s="166"/>
      <c r="G188" s="124"/>
      <c r="H188" s="296"/>
    </row>
    <row r="189" spans="1:8" ht="14.25" customHeight="1" hidden="1">
      <c r="A189" s="146"/>
      <c r="B189" s="146"/>
      <c r="C189" s="146"/>
      <c r="D189" s="146"/>
      <c r="E189" s="147"/>
      <c r="F189" s="147"/>
      <c r="G189" s="147"/>
      <c r="H189" s="294"/>
    </row>
    <row r="190" spans="1:8" ht="14.25" customHeight="1" thickBot="1">
      <c r="A190" s="146"/>
      <c r="B190" s="146"/>
      <c r="C190" s="146"/>
      <c r="D190" s="146"/>
      <c r="E190" s="147"/>
      <c r="F190" s="147"/>
      <c r="G190" s="147"/>
      <c r="H190" s="294"/>
    </row>
    <row r="191" spans="1:8" ht="13.5" customHeight="1" hidden="1">
      <c r="A191" s="146"/>
      <c r="B191" s="146"/>
      <c r="C191" s="146"/>
      <c r="D191" s="146"/>
      <c r="E191" s="147"/>
      <c r="F191" s="147"/>
      <c r="G191" s="147"/>
      <c r="H191" s="294"/>
    </row>
    <row r="192" spans="1:8" ht="13.5" customHeight="1" hidden="1">
      <c r="A192" s="146"/>
      <c r="B192" s="146"/>
      <c r="C192" s="146"/>
      <c r="D192" s="146"/>
      <c r="E192" s="147"/>
      <c r="F192" s="147"/>
      <c r="G192" s="147"/>
      <c r="H192" s="294"/>
    </row>
    <row r="193" spans="1:8" ht="13.5" customHeight="1" hidden="1" thickBot="1">
      <c r="A193" s="146"/>
      <c r="B193" s="146"/>
      <c r="C193" s="146"/>
      <c r="D193" s="146"/>
      <c r="E193" s="147"/>
      <c r="F193" s="147"/>
      <c r="G193" s="147"/>
      <c r="H193" s="294"/>
    </row>
    <row r="194" spans="1:8" ht="15.75">
      <c r="A194" s="311" t="s">
        <v>76</v>
      </c>
      <c r="B194" s="311" t="s">
        <v>77</v>
      </c>
      <c r="C194" s="311" t="s">
        <v>78</v>
      </c>
      <c r="D194" s="312" t="s">
        <v>79</v>
      </c>
      <c r="E194" s="313" t="s">
        <v>26</v>
      </c>
      <c r="F194" s="313" t="s">
        <v>26</v>
      </c>
      <c r="G194" s="313" t="s">
        <v>8</v>
      </c>
      <c r="H194" s="318" t="s">
        <v>80</v>
      </c>
    </row>
    <row r="195" spans="1:8" ht="15.75" customHeight="1" thickBot="1">
      <c r="A195" s="314"/>
      <c r="B195" s="314"/>
      <c r="C195" s="314"/>
      <c r="D195" s="315"/>
      <c r="E195" s="316" t="s">
        <v>28</v>
      </c>
      <c r="F195" s="316" t="s">
        <v>29</v>
      </c>
      <c r="G195" s="317" t="s">
        <v>30</v>
      </c>
      <c r="H195" s="319" t="s">
        <v>31</v>
      </c>
    </row>
    <row r="196" spans="1:8" ht="15.75" customHeight="1" thickTop="1">
      <c r="A196" s="132">
        <v>60</v>
      </c>
      <c r="B196" s="132"/>
      <c r="C196" s="132"/>
      <c r="D196" s="133" t="s">
        <v>232</v>
      </c>
      <c r="E196" s="134"/>
      <c r="F196" s="134"/>
      <c r="G196" s="134"/>
      <c r="H196" s="295"/>
    </row>
    <row r="197" spans="1:8" ht="14.25" customHeight="1">
      <c r="A197" s="169"/>
      <c r="B197" s="169"/>
      <c r="C197" s="169"/>
      <c r="D197" s="169"/>
      <c r="E197" s="136"/>
      <c r="F197" s="136"/>
      <c r="G197" s="136"/>
      <c r="H197" s="291"/>
    </row>
    <row r="198" spans="1:8" ht="15" hidden="1">
      <c r="A198" s="135"/>
      <c r="B198" s="135"/>
      <c r="C198" s="135">
        <v>1332</v>
      </c>
      <c r="D198" s="135" t="s">
        <v>233</v>
      </c>
      <c r="E198" s="136"/>
      <c r="F198" s="136"/>
      <c r="G198" s="136"/>
      <c r="H198" s="291" t="e">
        <f aca="true" t="shared" si="5" ref="H198:H211">(G198/F198)*100</f>
        <v>#DIV/0!</v>
      </c>
    </row>
    <row r="199" spans="1:8" ht="15">
      <c r="A199" s="135"/>
      <c r="B199" s="135"/>
      <c r="C199" s="135">
        <v>1333</v>
      </c>
      <c r="D199" s="135" t="s">
        <v>234</v>
      </c>
      <c r="E199" s="136">
        <v>500</v>
      </c>
      <c r="F199" s="136">
        <v>500</v>
      </c>
      <c r="G199" s="136">
        <v>808.1</v>
      </c>
      <c r="H199" s="291">
        <f t="shared" si="5"/>
        <v>161.62</v>
      </c>
    </row>
    <row r="200" spans="1:8" ht="15">
      <c r="A200" s="135"/>
      <c r="B200" s="135"/>
      <c r="C200" s="135">
        <v>1334</v>
      </c>
      <c r="D200" s="135" t="s">
        <v>235</v>
      </c>
      <c r="E200" s="136">
        <v>50</v>
      </c>
      <c r="F200" s="136">
        <v>50</v>
      </c>
      <c r="G200" s="136">
        <v>37.6</v>
      </c>
      <c r="H200" s="291">
        <f t="shared" si="5"/>
        <v>75.2</v>
      </c>
    </row>
    <row r="201" spans="1:8" ht="15">
      <c r="A201" s="135"/>
      <c r="B201" s="135"/>
      <c r="C201" s="135">
        <v>1335</v>
      </c>
      <c r="D201" s="135" t="s">
        <v>236</v>
      </c>
      <c r="E201" s="136">
        <v>6</v>
      </c>
      <c r="F201" s="136">
        <v>6</v>
      </c>
      <c r="G201" s="136">
        <v>13</v>
      </c>
      <c r="H201" s="291">
        <f t="shared" si="5"/>
        <v>216.66666666666666</v>
      </c>
    </row>
    <row r="202" spans="1:8" ht="15">
      <c r="A202" s="135"/>
      <c r="B202" s="135"/>
      <c r="C202" s="135">
        <v>1361</v>
      </c>
      <c r="D202" s="135" t="s">
        <v>43</v>
      </c>
      <c r="E202" s="136">
        <v>240</v>
      </c>
      <c r="F202" s="136">
        <v>240</v>
      </c>
      <c r="G202" s="136">
        <v>295.7</v>
      </c>
      <c r="H202" s="291">
        <f t="shared" si="5"/>
        <v>123.20833333333331</v>
      </c>
    </row>
    <row r="203" spans="1:8" ht="15" customHeight="1">
      <c r="A203" s="135">
        <v>29004</v>
      </c>
      <c r="B203" s="135"/>
      <c r="C203" s="135">
        <v>4116</v>
      </c>
      <c r="D203" s="135" t="s">
        <v>237</v>
      </c>
      <c r="E203" s="136">
        <v>0</v>
      </c>
      <c r="F203" s="136">
        <v>101.8</v>
      </c>
      <c r="G203" s="136">
        <v>101.7</v>
      </c>
      <c r="H203" s="291">
        <f t="shared" si="5"/>
        <v>99.90176817288801</v>
      </c>
    </row>
    <row r="204" spans="1:8" ht="15">
      <c r="A204" s="135">
        <v>29008</v>
      </c>
      <c r="B204" s="135"/>
      <c r="C204" s="135">
        <v>4116</v>
      </c>
      <c r="D204" s="135" t="s">
        <v>238</v>
      </c>
      <c r="E204" s="136">
        <v>0</v>
      </c>
      <c r="F204" s="136">
        <v>95.7</v>
      </c>
      <c r="G204" s="136">
        <v>95.5</v>
      </c>
      <c r="H204" s="291">
        <f t="shared" si="5"/>
        <v>99.79101358411702</v>
      </c>
    </row>
    <row r="205" spans="1:8" ht="15" hidden="1">
      <c r="A205" s="135">
        <v>29516</v>
      </c>
      <c r="B205" s="135"/>
      <c r="C205" s="135">
        <v>4216</v>
      </c>
      <c r="D205" s="135" t="s">
        <v>239</v>
      </c>
      <c r="E205" s="136"/>
      <c r="F205" s="136"/>
      <c r="G205" s="136"/>
      <c r="H205" s="291" t="e">
        <f t="shared" si="5"/>
        <v>#DIV/0!</v>
      </c>
    </row>
    <row r="206" spans="1:8" ht="15">
      <c r="A206" s="138">
        <v>379</v>
      </c>
      <c r="B206" s="138"/>
      <c r="C206" s="138">
        <v>4122</v>
      </c>
      <c r="D206" s="138" t="s">
        <v>240</v>
      </c>
      <c r="E206" s="139">
        <v>0</v>
      </c>
      <c r="F206" s="139">
        <v>20</v>
      </c>
      <c r="G206" s="139">
        <v>20</v>
      </c>
      <c r="H206" s="291">
        <f t="shared" si="5"/>
        <v>100</v>
      </c>
    </row>
    <row r="207" spans="1:8" ht="15">
      <c r="A207" s="138"/>
      <c r="B207" s="138">
        <v>1014</v>
      </c>
      <c r="C207" s="138">
        <v>2132</v>
      </c>
      <c r="D207" s="138" t="s">
        <v>241</v>
      </c>
      <c r="E207" s="139">
        <v>24</v>
      </c>
      <c r="F207" s="139">
        <v>24</v>
      </c>
      <c r="G207" s="139">
        <v>24.8</v>
      </c>
      <c r="H207" s="291">
        <f t="shared" si="5"/>
        <v>103.33333333333334</v>
      </c>
    </row>
    <row r="208" spans="1:8" ht="15">
      <c r="A208" s="138"/>
      <c r="B208" s="138">
        <v>2119</v>
      </c>
      <c r="C208" s="138">
        <v>2343</v>
      </c>
      <c r="D208" s="138" t="s">
        <v>242</v>
      </c>
      <c r="E208" s="139">
        <v>12000</v>
      </c>
      <c r="F208" s="139">
        <v>12000</v>
      </c>
      <c r="G208" s="139">
        <v>16335</v>
      </c>
      <c r="H208" s="291">
        <f t="shared" si="5"/>
        <v>136.125</v>
      </c>
    </row>
    <row r="209" spans="1:8" ht="15">
      <c r="A209" s="138"/>
      <c r="B209" s="138">
        <v>3749</v>
      </c>
      <c r="C209" s="138">
        <v>2321</v>
      </c>
      <c r="D209" s="138" t="s">
        <v>243</v>
      </c>
      <c r="E209" s="139">
        <v>5</v>
      </c>
      <c r="F209" s="139">
        <v>5</v>
      </c>
      <c r="G209" s="139">
        <v>0</v>
      </c>
      <c r="H209" s="291">
        <f t="shared" si="5"/>
        <v>0</v>
      </c>
    </row>
    <row r="210" spans="1:8" ht="15">
      <c r="A210" s="135"/>
      <c r="B210" s="135">
        <v>6171</v>
      </c>
      <c r="C210" s="135">
        <v>2212</v>
      </c>
      <c r="D210" s="135" t="s">
        <v>205</v>
      </c>
      <c r="E210" s="136">
        <v>60</v>
      </c>
      <c r="F210" s="136">
        <v>60</v>
      </c>
      <c r="G210" s="136">
        <v>181</v>
      </c>
      <c r="H210" s="291">
        <f t="shared" si="5"/>
        <v>301.6666666666667</v>
      </c>
    </row>
    <row r="211" spans="1:8" ht="15">
      <c r="A211" s="135"/>
      <c r="B211" s="135">
        <v>6171</v>
      </c>
      <c r="C211" s="135">
        <v>2324</v>
      </c>
      <c r="D211" s="135" t="s">
        <v>244</v>
      </c>
      <c r="E211" s="136">
        <v>5</v>
      </c>
      <c r="F211" s="136">
        <v>5</v>
      </c>
      <c r="G211" s="136">
        <v>9</v>
      </c>
      <c r="H211" s="291">
        <f t="shared" si="5"/>
        <v>180</v>
      </c>
    </row>
    <row r="212" spans="1:8" ht="15" hidden="1">
      <c r="A212" s="135"/>
      <c r="B212" s="135">
        <v>6171</v>
      </c>
      <c r="C212" s="135">
        <v>2329</v>
      </c>
      <c r="D212" s="135" t="s">
        <v>115</v>
      </c>
      <c r="E212" s="136"/>
      <c r="F212" s="136"/>
      <c r="G212" s="136"/>
      <c r="H212" s="291"/>
    </row>
    <row r="213" spans="1:8" ht="15" customHeight="1" thickBot="1">
      <c r="A213" s="173"/>
      <c r="B213" s="173"/>
      <c r="C213" s="173"/>
      <c r="D213" s="173"/>
      <c r="E213" s="174"/>
      <c r="F213" s="174"/>
      <c r="G213" s="174"/>
      <c r="H213" s="299"/>
    </row>
    <row r="214" spans="1:8" s="146" customFormat="1" ht="21.75" customHeight="1" thickBot="1" thickTop="1">
      <c r="A214" s="176"/>
      <c r="B214" s="176"/>
      <c r="C214" s="176"/>
      <c r="D214" s="177" t="s">
        <v>245</v>
      </c>
      <c r="E214" s="178">
        <f>SUM(E197:E213)</f>
        <v>12890</v>
      </c>
      <c r="F214" s="178">
        <f>SUM(F197:F213)</f>
        <v>13107.5</v>
      </c>
      <c r="G214" s="178">
        <f>SUM(G197:G213)</f>
        <v>17921.4</v>
      </c>
      <c r="H214" s="293">
        <f>(G214/F214)*100</f>
        <v>136.72630173564755</v>
      </c>
    </row>
    <row r="215" spans="1:8" ht="14.25" customHeight="1">
      <c r="A215" s="165"/>
      <c r="B215" s="165"/>
      <c r="C215" s="165"/>
      <c r="D215" s="128"/>
      <c r="E215" s="166"/>
      <c r="F215" s="166"/>
      <c r="G215" s="166"/>
      <c r="H215" s="297"/>
    </row>
    <row r="216" spans="1:8" ht="14.25" customHeight="1" hidden="1">
      <c r="A216" s="165"/>
      <c r="B216" s="165"/>
      <c r="C216" s="165"/>
      <c r="D216" s="128"/>
      <c r="E216" s="166"/>
      <c r="F216" s="166"/>
      <c r="G216" s="166"/>
      <c r="H216" s="297"/>
    </row>
    <row r="217" spans="1:8" ht="14.25" customHeight="1" hidden="1">
      <c r="A217" s="165"/>
      <c r="B217" s="165"/>
      <c r="C217" s="165"/>
      <c r="D217" s="128"/>
      <c r="E217" s="166"/>
      <c r="F217" s="166"/>
      <c r="G217" s="166"/>
      <c r="H217" s="297"/>
    </row>
    <row r="218" spans="1:8" ht="14.25" customHeight="1" hidden="1">
      <c r="A218" s="165"/>
      <c r="B218" s="165"/>
      <c r="C218" s="165"/>
      <c r="D218" s="128"/>
      <c r="E218" s="166"/>
      <c r="F218" s="166"/>
      <c r="G218" s="166"/>
      <c r="H218" s="297"/>
    </row>
    <row r="219" spans="1:8" ht="15" customHeight="1" hidden="1">
      <c r="A219" s="165"/>
      <c r="B219" s="165"/>
      <c r="C219" s="165"/>
      <c r="D219" s="128"/>
      <c r="E219" s="166"/>
      <c r="F219" s="166"/>
      <c r="G219" s="166"/>
      <c r="H219" s="297"/>
    </row>
    <row r="220" spans="1:8" ht="15" customHeight="1" thickBot="1">
      <c r="A220" s="165"/>
      <c r="B220" s="165"/>
      <c r="C220" s="165"/>
      <c r="D220" s="128"/>
      <c r="E220" s="166"/>
      <c r="F220" s="166"/>
      <c r="G220" s="166"/>
      <c r="H220" s="297"/>
    </row>
    <row r="221" spans="1:8" ht="15.75">
      <c r="A221" s="311" t="s">
        <v>76</v>
      </c>
      <c r="B221" s="311" t="s">
        <v>77</v>
      </c>
      <c r="C221" s="311" t="s">
        <v>78</v>
      </c>
      <c r="D221" s="312" t="s">
        <v>79</v>
      </c>
      <c r="E221" s="313" t="s">
        <v>26</v>
      </c>
      <c r="F221" s="313" t="s">
        <v>26</v>
      </c>
      <c r="G221" s="313" t="s">
        <v>8</v>
      </c>
      <c r="H221" s="318" t="s">
        <v>80</v>
      </c>
    </row>
    <row r="222" spans="1:8" ht="15.75" customHeight="1" thickBot="1">
      <c r="A222" s="314"/>
      <c r="B222" s="314"/>
      <c r="C222" s="314"/>
      <c r="D222" s="315"/>
      <c r="E222" s="316" t="s">
        <v>28</v>
      </c>
      <c r="F222" s="316" t="s">
        <v>29</v>
      </c>
      <c r="G222" s="317" t="s">
        <v>30</v>
      </c>
      <c r="H222" s="319" t="s">
        <v>31</v>
      </c>
    </row>
    <row r="223" spans="1:8" ht="15.75" customHeight="1" thickTop="1">
      <c r="A223" s="132">
        <v>80</v>
      </c>
      <c r="B223" s="132"/>
      <c r="C223" s="132"/>
      <c r="D223" s="133" t="s">
        <v>246</v>
      </c>
      <c r="E223" s="134"/>
      <c r="F223" s="134"/>
      <c r="G223" s="134"/>
      <c r="H223" s="295"/>
    </row>
    <row r="224" spans="1:8" ht="15">
      <c r="A224" s="135"/>
      <c r="B224" s="135"/>
      <c r="C224" s="135"/>
      <c r="D224" s="135"/>
      <c r="E224" s="136"/>
      <c r="F224" s="136"/>
      <c r="G224" s="136"/>
      <c r="H224" s="291"/>
    </row>
    <row r="225" spans="1:8" ht="15">
      <c r="A225" s="135"/>
      <c r="B225" s="135"/>
      <c r="C225" s="135">
        <v>1353</v>
      </c>
      <c r="D225" s="135" t="s">
        <v>247</v>
      </c>
      <c r="E225" s="136">
        <v>750</v>
      </c>
      <c r="F225" s="136">
        <v>750</v>
      </c>
      <c r="G225" s="136">
        <v>834.7</v>
      </c>
      <c r="H225" s="291">
        <f aca="true" t="shared" si="6" ref="H225:H239">(G225/F225)*100</f>
        <v>111.29333333333334</v>
      </c>
    </row>
    <row r="226" spans="1:8" ht="15">
      <c r="A226" s="135"/>
      <c r="B226" s="135"/>
      <c r="C226" s="135">
        <v>1359</v>
      </c>
      <c r="D226" s="135" t="s">
        <v>248</v>
      </c>
      <c r="E226" s="136">
        <v>0</v>
      </c>
      <c r="F226" s="136">
        <v>0</v>
      </c>
      <c r="G226" s="136">
        <v>-99</v>
      </c>
      <c r="H226" s="291" t="e">
        <f t="shared" si="6"/>
        <v>#DIV/0!</v>
      </c>
    </row>
    <row r="227" spans="1:8" ht="15">
      <c r="A227" s="135"/>
      <c r="B227" s="135"/>
      <c r="C227" s="135">
        <v>1361</v>
      </c>
      <c r="D227" s="135" t="s">
        <v>43</v>
      </c>
      <c r="E227" s="136">
        <v>7000</v>
      </c>
      <c r="F227" s="136">
        <v>7000</v>
      </c>
      <c r="G227" s="136">
        <v>7378.6</v>
      </c>
      <c r="H227" s="291">
        <f t="shared" si="6"/>
        <v>105.40857142857143</v>
      </c>
    </row>
    <row r="228" spans="1:8" ht="15">
      <c r="A228" s="135"/>
      <c r="B228" s="135"/>
      <c r="C228" s="135">
        <v>4121</v>
      </c>
      <c r="D228" s="135" t="s">
        <v>249</v>
      </c>
      <c r="E228" s="139">
        <v>250</v>
      </c>
      <c r="F228" s="139">
        <v>250</v>
      </c>
      <c r="G228" s="139">
        <v>336</v>
      </c>
      <c r="H228" s="291">
        <f t="shared" si="6"/>
        <v>134.4</v>
      </c>
    </row>
    <row r="229" spans="1:8" ht="15">
      <c r="A229" s="135">
        <v>222</v>
      </c>
      <c r="B229" s="135"/>
      <c r="C229" s="135">
        <v>4122</v>
      </c>
      <c r="D229" s="135" t="s">
        <v>250</v>
      </c>
      <c r="E229" s="139">
        <v>0</v>
      </c>
      <c r="F229" s="139">
        <v>350</v>
      </c>
      <c r="G229" s="139">
        <v>350</v>
      </c>
      <c r="H229" s="291">
        <f t="shared" si="6"/>
        <v>100</v>
      </c>
    </row>
    <row r="230" spans="1:8" ht="15">
      <c r="A230" s="135"/>
      <c r="B230" s="135">
        <v>2219</v>
      </c>
      <c r="C230" s="135">
        <v>2324</v>
      </c>
      <c r="D230" s="135" t="s">
        <v>251</v>
      </c>
      <c r="E230" s="136">
        <v>0</v>
      </c>
      <c r="F230" s="136">
        <v>32</v>
      </c>
      <c r="G230" s="136">
        <v>32</v>
      </c>
      <c r="H230" s="291">
        <f t="shared" si="6"/>
        <v>100</v>
      </c>
    </row>
    <row r="231" spans="1:8" ht="15">
      <c r="A231" s="135"/>
      <c r="B231" s="135">
        <v>2219</v>
      </c>
      <c r="C231" s="135">
        <v>2329</v>
      </c>
      <c r="D231" s="135" t="s">
        <v>252</v>
      </c>
      <c r="E231" s="136">
        <v>4800</v>
      </c>
      <c r="F231" s="136">
        <v>5000</v>
      </c>
      <c r="G231" s="136">
        <v>5014.4</v>
      </c>
      <c r="H231" s="291">
        <f t="shared" si="6"/>
        <v>100.288</v>
      </c>
    </row>
    <row r="232" spans="1:8" ht="15">
      <c r="A232" s="135"/>
      <c r="B232" s="135">
        <v>2229</v>
      </c>
      <c r="C232" s="135">
        <v>2212</v>
      </c>
      <c r="D232" s="135" t="s">
        <v>253</v>
      </c>
      <c r="E232" s="139">
        <v>0</v>
      </c>
      <c r="F232" s="139">
        <v>0</v>
      </c>
      <c r="G232" s="139">
        <v>329</v>
      </c>
      <c r="H232" s="291" t="e">
        <f t="shared" si="6"/>
        <v>#DIV/0!</v>
      </c>
    </row>
    <row r="233" spans="1:8" ht="15">
      <c r="A233" s="135"/>
      <c r="B233" s="135">
        <v>2229</v>
      </c>
      <c r="C233" s="135">
        <v>2324</v>
      </c>
      <c r="D233" s="135" t="s">
        <v>254</v>
      </c>
      <c r="E233" s="139">
        <v>0</v>
      </c>
      <c r="F233" s="139">
        <v>0</v>
      </c>
      <c r="G233" s="139">
        <v>198</v>
      </c>
      <c r="H233" s="291" t="e">
        <f t="shared" si="6"/>
        <v>#DIV/0!</v>
      </c>
    </row>
    <row r="234" spans="1:8" ht="15">
      <c r="A234" s="135"/>
      <c r="B234" s="135">
        <v>2299</v>
      </c>
      <c r="C234" s="135">
        <v>2212</v>
      </c>
      <c r="D234" s="135" t="s">
        <v>255</v>
      </c>
      <c r="E234" s="136">
        <v>0</v>
      </c>
      <c r="F234" s="136">
        <v>2300</v>
      </c>
      <c r="G234" s="136">
        <v>4997.8</v>
      </c>
      <c r="H234" s="291">
        <f t="shared" si="6"/>
        <v>217.29565217391306</v>
      </c>
    </row>
    <row r="235" spans="1:8" ht="15">
      <c r="A235" s="135"/>
      <c r="B235" s="135">
        <v>2299</v>
      </c>
      <c r="C235" s="135">
        <v>2324</v>
      </c>
      <c r="D235" s="135" t="s">
        <v>256</v>
      </c>
      <c r="E235" s="139">
        <v>0</v>
      </c>
      <c r="F235" s="139">
        <v>0</v>
      </c>
      <c r="G235" s="139">
        <v>0</v>
      </c>
      <c r="H235" s="291" t="e">
        <f t="shared" si="6"/>
        <v>#DIV/0!</v>
      </c>
    </row>
    <row r="236" spans="1:8" ht="15">
      <c r="A236" s="135"/>
      <c r="B236" s="135">
        <v>6171</v>
      </c>
      <c r="C236" s="135">
        <v>2212</v>
      </c>
      <c r="D236" s="135" t="s">
        <v>257</v>
      </c>
      <c r="E236" s="136">
        <v>2200</v>
      </c>
      <c r="F236" s="136">
        <v>5</v>
      </c>
      <c r="G236" s="136">
        <v>0</v>
      </c>
      <c r="H236" s="291">
        <f t="shared" si="6"/>
        <v>0</v>
      </c>
    </row>
    <row r="237" spans="1:8" ht="15">
      <c r="A237" s="138"/>
      <c r="B237" s="138">
        <v>6171</v>
      </c>
      <c r="C237" s="138">
        <v>2324</v>
      </c>
      <c r="D237" s="138" t="s">
        <v>251</v>
      </c>
      <c r="E237" s="139">
        <v>200</v>
      </c>
      <c r="F237" s="139">
        <v>200</v>
      </c>
      <c r="G237" s="139">
        <v>576</v>
      </c>
      <c r="H237" s="291">
        <f t="shared" si="6"/>
        <v>288</v>
      </c>
    </row>
    <row r="238" spans="1:8" ht="15">
      <c r="A238" s="135"/>
      <c r="B238" s="135">
        <v>6171</v>
      </c>
      <c r="C238" s="135">
        <v>2329</v>
      </c>
      <c r="D238" s="135" t="s">
        <v>258</v>
      </c>
      <c r="E238" s="139">
        <v>0</v>
      </c>
      <c r="F238" s="139">
        <v>0</v>
      </c>
      <c r="G238" s="139">
        <v>95</v>
      </c>
      <c r="H238" s="291" t="e">
        <f t="shared" si="6"/>
        <v>#DIV/0!</v>
      </c>
    </row>
    <row r="239" spans="1:8" ht="15" hidden="1">
      <c r="A239" s="138"/>
      <c r="B239" s="138">
        <v>6171</v>
      </c>
      <c r="C239" s="138">
        <v>2329</v>
      </c>
      <c r="D239" s="138" t="s">
        <v>259</v>
      </c>
      <c r="E239" s="140"/>
      <c r="F239" s="140"/>
      <c r="G239" s="139"/>
      <c r="H239" s="291" t="e">
        <f t="shared" si="6"/>
        <v>#DIV/0!</v>
      </c>
    </row>
    <row r="240" spans="1:8" ht="15.75" thickBot="1">
      <c r="A240" s="173"/>
      <c r="B240" s="173"/>
      <c r="C240" s="173"/>
      <c r="D240" s="173"/>
      <c r="E240" s="174"/>
      <c r="F240" s="174"/>
      <c r="G240" s="174"/>
      <c r="H240" s="299"/>
    </row>
    <row r="241" spans="1:8" s="146" customFormat="1" ht="21.75" customHeight="1" thickBot="1" thickTop="1">
      <c r="A241" s="176"/>
      <c r="B241" s="176"/>
      <c r="C241" s="176"/>
      <c r="D241" s="177" t="s">
        <v>260</v>
      </c>
      <c r="E241" s="178">
        <f>SUM(E224:E240)</f>
        <v>15200</v>
      </c>
      <c r="F241" s="178">
        <f>SUM(F224:F240)</f>
        <v>15887</v>
      </c>
      <c r="G241" s="178">
        <f>SUM(G224:G240)</f>
        <v>20042.5</v>
      </c>
      <c r="H241" s="293">
        <f>(G241/F241)*100</f>
        <v>126.15660603008749</v>
      </c>
    </row>
    <row r="242" spans="1:8" ht="15" customHeight="1" thickBot="1">
      <c r="A242" s="165"/>
      <c r="B242" s="165"/>
      <c r="C242" s="165"/>
      <c r="D242" s="128"/>
      <c r="E242" s="166"/>
      <c r="F242" s="166"/>
      <c r="G242" s="166"/>
      <c r="H242" s="297"/>
    </row>
    <row r="243" spans="1:8" ht="15" customHeight="1" hidden="1">
      <c r="A243" s="165"/>
      <c r="B243" s="165"/>
      <c r="C243" s="165"/>
      <c r="D243" s="128"/>
      <c r="E243" s="166"/>
      <c r="F243" s="166"/>
      <c r="G243" s="166"/>
      <c r="H243" s="297"/>
    </row>
    <row r="244" spans="1:8" ht="15" customHeight="1" hidden="1">
      <c r="A244" s="165"/>
      <c r="B244" s="165"/>
      <c r="C244" s="165"/>
      <c r="D244" s="128"/>
      <c r="E244" s="166"/>
      <c r="F244" s="166"/>
      <c r="G244" s="166"/>
      <c r="H244" s="297"/>
    </row>
    <row r="245" spans="1:8" ht="15" customHeight="1" hidden="1" thickBot="1">
      <c r="A245" s="165"/>
      <c r="B245" s="165"/>
      <c r="C245" s="165"/>
      <c r="D245" s="128"/>
      <c r="E245" s="166"/>
      <c r="F245" s="166"/>
      <c r="G245" s="166"/>
      <c r="H245" s="297"/>
    </row>
    <row r="246" spans="1:8" ht="15.75">
      <c r="A246" s="311" t="s">
        <v>76</v>
      </c>
      <c r="B246" s="311" t="s">
        <v>77</v>
      </c>
      <c r="C246" s="311" t="s">
        <v>78</v>
      </c>
      <c r="D246" s="312" t="s">
        <v>79</v>
      </c>
      <c r="E246" s="313" t="s">
        <v>26</v>
      </c>
      <c r="F246" s="313" t="s">
        <v>26</v>
      </c>
      <c r="G246" s="313" t="s">
        <v>8</v>
      </c>
      <c r="H246" s="318" t="s">
        <v>80</v>
      </c>
    </row>
    <row r="247" spans="1:8" ht="15.75" customHeight="1" thickBot="1">
      <c r="A247" s="314"/>
      <c r="B247" s="314"/>
      <c r="C247" s="314"/>
      <c r="D247" s="315"/>
      <c r="E247" s="316" t="s">
        <v>28</v>
      </c>
      <c r="F247" s="316" t="s">
        <v>29</v>
      </c>
      <c r="G247" s="317" t="s">
        <v>30</v>
      </c>
      <c r="H247" s="319" t="s">
        <v>31</v>
      </c>
    </row>
    <row r="248" spans="1:8" ht="16.5" customHeight="1" thickTop="1">
      <c r="A248" s="132">
        <v>90</v>
      </c>
      <c r="B248" s="132"/>
      <c r="C248" s="132"/>
      <c r="D248" s="133" t="s">
        <v>261</v>
      </c>
      <c r="E248" s="134"/>
      <c r="F248" s="134"/>
      <c r="G248" s="134"/>
      <c r="H248" s="295"/>
    </row>
    <row r="249" spans="1:8" ht="15.75">
      <c r="A249" s="132"/>
      <c r="B249" s="132"/>
      <c r="C249" s="132"/>
      <c r="D249" s="133"/>
      <c r="E249" s="134"/>
      <c r="F249" s="134"/>
      <c r="G249" s="134"/>
      <c r="H249" s="295"/>
    </row>
    <row r="250" spans="1:8" ht="15">
      <c r="A250" s="141"/>
      <c r="B250" s="141"/>
      <c r="C250" s="141">
        <v>4121</v>
      </c>
      <c r="D250" s="141" t="s">
        <v>262</v>
      </c>
      <c r="E250" s="180">
        <v>300</v>
      </c>
      <c r="F250" s="180">
        <v>400</v>
      </c>
      <c r="G250" s="180">
        <v>400</v>
      </c>
      <c r="H250" s="291">
        <f aca="true" t="shared" si="7" ref="H250:H258">(G250/F250)*100</f>
        <v>100</v>
      </c>
    </row>
    <row r="251" spans="1:8" ht="15">
      <c r="A251" s="135"/>
      <c r="B251" s="135">
        <v>5311</v>
      </c>
      <c r="C251" s="135">
        <v>2111</v>
      </c>
      <c r="D251" s="135" t="s">
        <v>110</v>
      </c>
      <c r="E251" s="181">
        <v>650</v>
      </c>
      <c r="F251" s="181">
        <v>650</v>
      </c>
      <c r="G251" s="181">
        <v>534.3</v>
      </c>
      <c r="H251" s="291">
        <f t="shared" si="7"/>
        <v>82.19999999999999</v>
      </c>
    </row>
    <row r="252" spans="1:8" ht="15">
      <c r="A252" s="135"/>
      <c r="B252" s="135">
        <v>5311</v>
      </c>
      <c r="C252" s="135">
        <v>2212</v>
      </c>
      <c r="D252" s="135" t="s">
        <v>263</v>
      </c>
      <c r="E252" s="182">
        <v>1850</v>
      </c>
      <c r="F252" s="182">
        <v>1750</v>
      </c>
      <c r="G252" s="182">
        <v>879.2</v>
      </c>
      <c r="H252" s="291">
        <f t="shared" si="7"/>
        <v>50.24000000000001</v>
      </c>
    </row>
    <row r="253" spans="1:8" ht="15" hidden="1">
      <c r="A253" s="138"/>
      <c r="B253" s="138">
        <v>5311</v>
      </c>
      <c r="C253" s="138">
        <v>2310</v>
      </c>
      <c r="D253" s="138" t="s">
        <v>264</v>
      </c>
      <c r="E253" s="139"/>
      <c r="F253" s="139"/>
      <c r="G253" s="139"/>
      <c r="H253" s="291" t="e">
        <f t="shared" si="7"/>
        <v>#DIV/0!</v>
      </c>
    </row>
    <row r="254" spans="1:8" ht="15">
      <c r="A254" s="138"/>
      <c r="B254" s="138">
        <v>5311</v>
      </c>
      <c r="C254" s="138">
        <v>2322</v>
      </c>
      <c r="D254" s="138" t="s">
        <v>265</v>
      </c>
      <c r="E254" s="139">
        <v>0</v>
      </c>
      <c r="F254" s="139">
        <v>0</v>
      </c>
      <c r="G254" s="139">
        <v>5.1</v>
      </c>
      <c r="H254" s="291" t="e">
        <f t="shared" si="7"/>
        <v>#DIV/0!</v>
      </c>
    </row>
    <row r="255" spans="1:8" ht="15">
      <c r="A255" s="135"/>
      <c r="B255" s="135">
        <v>5311</v>
      </c>
      <c r="C255" s="135">
        <v>2324</v>
      </c>
      <c r="D255" s="135" t="s">
        <v>266</v>
      </c>
      <c r="E255" s="136">
        <v>0</v>
      </c>
      <c r="F255" s="136">
        <v>110</v>
      </c>
      <c r="G255" s="136">
        <v>129.5</v>
      </c>
      <c r="H255" s="291">
        <f t="shared" si="7"/>
        <v>117.72727272727272</v>
      </c>
    </row>
    <row r="256" spans="1:8" ht="15">
      <c r="A256" s="138"/>
      <c r="B256" s="138">
        <v>5311</v>
      </c>
      <c r="C256" s="138">
        <v>2329</v>
      </c>
      <c r="D256" s="138" t="s">
        <v>115</v>
      </c>
      <c r="E256" s="139">
        <v>0</v>
      </c>
      <c r="F256" s="139">
        <v>0</v>
      </c>
      <c r="G256" s="139">
        <v>0.5</v>
      </c>
      <c r="H256" s="291" t="e">
        <f t="shared" si="7"/>
        <v>#DIV/0!</v>
      </c>
    </row>
    <row r="257" spans="1:8" ht="15">
      <c r="A257" s="138"/>
      <c r="B257" s="138">
        <v>5311</v>
      </c>
      <c r="C257" s="138">
        <v>3113</v>
      </c>
      <c r="D257" s="138" t="s">
        <v>264</v>
      </c>
      <c r="E257" s="139">
        <v>0</v>
      </c>
      <c r="F257" s="139">
        <v>0</v>
      </c>
      <c r="G257" s="139">
        <v>20</v>
      </c>
      <c r="H257" s="291" t="e">
        <f t="shared" si="7"/>
        <v>#DIV/0!</v>
      </c>
    </row>
    <row r="258" spans="1:8" ht="15" hidden="1">
      <c r="A258" s="138"/>
      <c r="B258" s="138">
        <v>6409</v>
      </c>
      <c r="C258" s="138">
        <v>2328</v>
      </c>
      <c r="D258" s="138" t="s">
        <v>267</v>
      </c>
      <c r="E258" s="139">
        <v>0</v>
      </c>
      <c r="F258" s="139">
        <v>0</v>
      </c>
      <c r="G258" s="139"/>
      <c r="H258" s="291" t="e">
        <f t="shared" si="7"/>
        <v>#DIV/0!</v>
      </c>
    </row>
    <row r="259" spans="1:8" ht="15.75" thickBot="1">
      <c r="A259" s="173"/>
      <c r="B259" s="173"/>
      <c r="C259" s="173"/>
      <c r="D259" s="173"/>
      <c r="E259" s="174"/>
      <c r="F259" s="174"/>
      <c r="G259" s="174"/>
      <c r="H259" s="299"/>
    </row>
    <row r="260" spans="1:8" s="146" customFormat="1" ht="21.75" customHeight="1" thickBot="1" thickTop="1">
      <c r="A260" s="176"/>
      <c r="B260" s="176"/>
      <c r="C260" s="176"/>
      <c r="D260" s="177" t="s">
        <v>268</v>
      </c>
      <c r="E260" s="178">
        <f>SUM(E250:E259)</f>
        <v>2800</v>
      </c>
      <c r="F260" s="178">
        <f>SUM(F250:F259)</f>
        <v>2910</v>
      </c>
      <c r="G260" s="178">
        <f>SUM(G250:G259)</f>
        <v>1968.6</v>
      </c>
      <c r="H260" s="293">
        <f>(G260/F260)*100</f>
        <v>67.64948453608247</v>
      </c>
    </row>
    <row r="261" spans="1:8" ht="15" customHeight="1">
      <c r="A261" s="165"/>
      <c r="B261" s="165"/>
      <c r="C261" s="165"/>
      <c r="D261" s="128"/>
      <c r="E261" s="166"/>
      <c r="F261" s="166"/>
      <c r="G261" s="166"/>
      <c r="H261" s="297"/>
    </row>
    <row r="262" spans="1:8" ht="15" customHeight="1" hidden="1">
      <c r="A262" s="165"/>
      <c r="B262" s="165"/>
      <c r="C262" s="165"/>
      <c r="D262" s="128"/>
      <c r="E262" s="166"/>
      <c r="F262" s="166"/>
      <c r="G262" s="166"/>
      <c r="H262" s="297"/>
    </row>
    <row r="263" spans="1:8" ht="15" customHeight="1" hidden="1">
      <c r="A263" s="165"/>
      <c r="B263" s="165"/>
      <c r="C263" s="165"/>
      <c r="D263" s="128"/>
      <c r="E263" s="166"/>
      <c r="F263" s="166"/>
      <c r="G263" s="166"/>
      <c r="H263" s="297"/>
    </row>
    <row r="264" spans="1:8" ht="15" customHeight="1" hidden="1">
      <c r="A264" s="165"/>
      <c r="B264" s="165"/>
      <c r="C264" s="165"/>
      <c r="D264" s="128"/>
      <c r="E264" s="166"/>
      <c r="F264" s="166"/>
      <c r="G264" s="166"/>
      <c r="H264" s="297"/>
    </row>
    <row r="265" spans="1:8" ht="15" customHeight="1" hidden="1">
      <c r="A265" s="165"/>
      <c r="B265" s="165"/>
      <c r="C265" s="165"/>
      <c r="D265" s="128"/>
      <c r="E265" s="166"/>
      <c r="F265" s="166"/>
      <c r="G265" s="166"/>
      <c r="H265" s="297"/>
    </row>
    <row r="266" spans="1:8" ht="15" customHeight="1" hidden="1">
      <c r="A266" s="165"/>
      <c r="B266" s="165"/>
      <c r="C266" s="165"/>
      <c r="D266" s="128"/>
      <c r="E266" s="166"/>
      <c r="F266" s="166"/>
      <c r="G266" s="166"/>
      <c r="H266" s="297"/>
    </row>
    <row r="267" spans="1:8" ht="15" customHeight="1" hidden="1">
      <c r="A267" s="165"/>
      <c r="B267" s="165"/>
      <c r="C267" s="165"/>
      <c r="D267" s="128"/>
      <c r="E267" s="166"/>
      <c r="F267" s="166"/>
      <c r="G267" s="166"/>
      <c r="H267" s="297"/>
    </row>
    <row r="268" spans="1:8" ht="15" customHeight="1" hidden="1">
      <c r="A268" s="165"/>
      <c r="B268" s="165"/>
      <c r="C268" s="165"/>
      <c r="D268" s="128"/>
      <c r="E268" s="166"/>
      <c r="F268" s="166"/>
      <c r="G268" s="124"/>
      <c r="H268" s="296"/>
    </row>
    <row r="269" spans="1:8" ht="15" customHeight="1" thickBot="1">
      <c r="A269" s="165"/>
      <c r="B269" s="165"/>
      <c r="C269" s="165"/>
      <c r="D269" s="128"/>
      <c r="E269" s="166"/>
      <c r="F269" s="166"/>
      <c r="G269" s="166"/>
      <c r="H269" s="297"/>
    </row>
    <row r="270" spans="1:8" ht="15.75">
      <c r="A270" s="311" t="s">
        <v>76</v>
      </c>
      <c r="B270" s="311" t="s">
        <v>77</v>
      </c>
      <c r="C270" s="311" t="s">
        <v>78</v>
      </c>
      <c r="D270" s="312" t="s">
        <v>79</v>
      </c>
      <c r="E270" s="313" t="s">
        <v>26</v>
      </c>
      <c r="F270" s="313" t="s">
        <v>26</v>
      </c>
      <c r="G270" s="313" t="s">
        <v>8</v>
      </c>
      <c r="H270" s="318" t="s">
        <v>80</v>
      </c>
    </row>
    <row r="271" spans="1:8" ht="15.75" customHeight="1" thickBot="1">
      <c r="A271" s="314"/>
      <c r="B271" s="314"/>
      <c r="C271" s="314"/>
      <c r="D271" s="315"/>
      <c r="E271" s="316" t="s">
        <v>28</v>
      </c>
      <c r="F271" s="316" t="s">
        <v>29</v>
      </c>
      <c r="G271" s="317" t="s">
        <v>30</v>
      </c>
      <c r="H271" s="319" t="s">
        <v>31</v>
      </c>
    </row>
    <row r="272" spans="1:8" ht="15.75" customHeight="1" thickTop="1">
      <c r="A272" s="132">
        <v>100</v>
      </c>
      <c r="B272" s="132"/>
      <c r="C272" s="132"/>
      <c r="D272" s="183" t="s">
        <v>269</v>
      </c>
      <c r="E272" s="134"/>
      <c r="F272" s="134"/>
      <c r="G272" s="134"/>
      <c r="H272" s="295"/>
    </row>
    <row r="273" spans="1:8" ht="15">
      <c r="A273" s="135"/>
      <c r="B273" s="135"/>
      <c r="C273" s="135"/>
      <c r="D273" s="135"/>
      <c r="E273" s="136"/>
      <c r="F273" s="136"/>
      <c r="G273" s="136"/>
      <c r="H273" s="291"/>
    </row>
    <row r="274" spans="1:8" ht="15">
      <c r="A274" s="135"/>
      <c r="B274" s="135"/>
      <c r="C274" s="135">
        <v>1361</v>
      </c>
      <c r="D274" s="135" t="s">
        <v>43</v>
      </c>
      <c r="E274" s="136">
        <v>1700</v>
      </c>
      <c r="F274" s="136">
        <v>1700</v>
      </c>
      <c r="G274" s="136">
        <v>2435.4</v>
      </c>
      <c r="H274" s="291">
        <f>(G274/F274)*100</f>
        <v>143.25882352941179</v>
      </c>
    </row>
    <row r="275" spans="1:8" ht="15.75" hidden="1">
      <c r="A275" s="169"/>
      <c r="B275" s="169"/>
      <c r="C275" s="135">
        <v>4216</v>
      </c>
      <c r="D275" s="135" t="s">
        <v>270</v>
      </c>
      <c r="E275" s="136"/>
      <c r="F275" s="136"/>
      <c r="G275" s="136"/>
      <c r="H275" s="291" t="e">
        <f>(G275/F275)*100</f>
        <v>#DIV/0!</v>
      </c>
    </row>
    <row r="276" spans="1:8" ht="15">
      <c r="A276" s="135"/>
      <c r="B276" s="135">
        <v>2169</v>
      </c>
      <c r="C276" s="135">
        <v>2212</v>
      </c>
      <c r="D276" s="135" t="s">
        <v>263</v>
      </c>
      <c r="E276" s="136">
        <v>500</v>
      </c>
      <c r="F276" s="136">
        <v>500</v>
      </c>
      <c r="G276" s="136">
        <v>440.8</v>
      </c>
      <c r="H276" s="291">
        <f>(G276/F276)*100</f>
        <v>88.16000000000001</v>
      </c>
    </row>
    <row r="277" spans="1:8" ht="15" hidden="1">
      <c r="A277" s="138"/>
      <c r="B277" s="138">
        <v>3635</v>
      </c>
      <c r="C277" s="138">
        <v>3122</v>
      </c>
      <c r="D277" s="135" t="s">
        <v>271</v>
      </c>
      <c r="E277" s="136">
        <v>0</v>
      </c>
      <c r="F277" s="136">
        <v>0</v>
      </c>
      <c r="G277" s="136"/>
      <c r="H277" s="291" t="e">
        <f>(G277/F277)*100</f>
        <v>#DIV/0!</v>
      </c>
    </row>
    <row r="278" spans="1:8" ht="15">
      <c r="A278" s="138"/>
      <c r="B278" s="138">
        <v>6171</v>
      </c>
      <c r="C278" s="138">
        <v>2324</v>
      </c>
      <c r="D278" s="135" t="s">
        <v>272</v>
      </c>
      <c r="E278" s="142">
        <v>40</v>
      </c>
      <c r="F278" s="142">
        <v>40</v>
      </c>
      <c r="G278" s="142">
        <v>74.9</v>
      </c>
      <c r="H278" s="291">
        <f>(G278/F278)*100</f>
        <v>187.25</v>
      </c>
    </row>
    <row r="279" spans="1:8" ht="15" customHeight="1" thickBot="1">
      <c r="A279" s="173"/>
      <c r="B279" s="173"/>
      <c r="C279" s="173"/>
      <c r="D279" s="173"/>
      <c r="E279" s="174"/>
      <c r="F279" s="174"/>
      <c r="G279" s="174"/>
      <c r="H279" s="299"/>
    </row>
    <row r="280" spans="1:8" s="146" customFormat="1" ht="21.75" customHeight="1" thickBot="1" thickTop="1">
      <c r="A280" s="176"/>
      <c r="B280" s="176"/>
      <c r="C280" s="176"/>
      <c r="D280" s="177" t="s">
        <v>273</v>
      </c>
      <c r="E280" s="178">
        <f>SUM(E272:E278)</f>
        <v>2240</v>
      </c>
      <c r="F280" s="178">
        <f>SUM(F272:F278)</f>
        <v>2240</v>
      </c>
      <c r="G280" s="178">
        <f>SUM(G272:G278)</f>
        <v>2951.1000000000004</v>
      </c>
      <c r="H280" s="293">
        <f>(G280/F280)*100</f>
        <v>131.74553571428572</v>
      </c>
    </row>
    <row r="281" spans="1:8" ht="15" customHeight="1" thickBot="1">
      <c r="A281" s="165"/>
      <c r="B281" s="165"/>
      <c r="C281" s="165"/>
      <c r="D281" s="128"/>
      <c r="E281" s="166"/>
      <c r="F281" s="166"/>
      <c r="G281" s="166"/>
      <c r="H281" s="297"/>
    </row>
    <row r="282" spans="1:8" ht="15" customHeight="1" hidden="1">
      <c r="A282" s="165"/>
      <c r="B282" s="165"/>
      <c r="C282" s="165"/>
      <c r="D282" s="128"/>
      <c r="E282" s="166"/>
      <c r="F282" s="166"/>
      <c r="G282" s="166"/>
      <c r="H282" s="297"/>
    </row>
    <row r="283" spans="1:8" ht="15" customHeight="1" hidden="1">
      <c r="A283" s="165"/>
      <c r="B283" s="165"/>
      <c r="C283" s="165"/>
      <c r="D283" s="128"/>
      <c r="E283" s="166"/>
      <c r="F283" s="166"/>
      <c r="G283" s="166"/>
      <c r="H283" s="297"/>
    </row>
    <row r="284" spans="1:8" ht="15" customHeight="1" hidden="1" thickBot="1">
      <c r="A284" s="165"/>
      <c r="B284" s="165"/>
      <c r="C284" s="165"/>
      <c r="D284" s="128"/>
      <c r="E284" s="166"/>
      <c r="F284" s="166"/>
      <c r="G284" s="166"/>
      <c r="H284" s="297"/>
    </row>
    <row r="285" spans="1:8" ht="15.75">
      <c r="A285" s="311" t="s">
        <v>76</v>
      </c>
      <c r="B285" s="311" t="s">
        <v>77</v>
      </c>
      <c r="C285" s="311" t="s">
        <v>78</v>
      </c>
      <c r="D285" s="312" t="s">
        <v>79</v>
      </c>
      <c r="E285" s="313" t="s">
        <v>26</v>
      </c>
      <c r="F285" s="313" t="s">
        <v>26</v>
      </c>
      <c r="G285" s="313" t="s">
        <v>8</v>
      </c>
      <c r="H285" s="318" t="s">
        <v>80</v>
      </c>
    </row>
    <row r="286" spans="1:8" ht="15.75" customHeight="1" thickBot="1">
      <c r="A286" s="314"/>
      <c r="B286" s="314"/>
      <c r="C286" s="314"/>
      <c r="D286" s="315"/>
      <c r="E286" s="316" t="s">
        <v>28</v>
      </c>
      <c r="F286" s="316" t="s">
        <v>29</v>
      </c>
      <c r="G286" s="317" t="s">
        <v>30</v>
      </c>
      <c r="H286" s="319" t="s">
        <v>31</v>
      </c>
    </row>
    <row r="287" spans="1:8" ht="15.75" customHeight="1" thickTop="1">
      <c r="A287" s="184">
        <v>110</v>
      </c>
      <c r="B287" s="169"/>
      <c r="C287" s="169"/>
      <c r="D287" s="169" t="s">
        <v>274</v>
      </c>
      <c r="E287" s="134"/>
      <c r="F287" s="134"/>
      <c r="G287" s="134"/>
      <c r="H287" s="295"/>
    </row>
    <row r="288" spans="1:8" ht="15.75">
      <c r="A288" s="184"/>
      <c r="B288" s="169"/>
      <c r="C288" s="169"/>
      <c r="D288" s="169"/>
      <c r="E288" s="134"/>
      <c r="F288" s="134"/>
      <c r="G288" s="134"/>
      <c r="H288" s="295"/>
    </row>
    <row r="289" spans="1:8" ht="15">
      <c r="A289" s="135"/>
      <c r="B289" s="135"/>
      <c r="C289" s="135">
        <v>1111</v>
      </c>
      <c r="D289" s="135" t="s">
        <v>34</v>
      </c>
      <c r="E289" s="171">
        <v>48000</v>
      </c>
      <c r="F289" s="171">
        <v>48000</v>
      </c>
      <c r="G289" s="171">
        <v>55009.4</v>
      </c>
      <c r="H289" s="291">
        <f aca="true" t="shared" si="8" ref="H289:H315">(G289/F289)*100</f>
        <v>114.60291666666666</v>
      </c>
    </row>
    <row r="290" spans="1:8" ht="15">
      <c r="A290" s="135"/>
      <c r="B290" s="135"/>
      <c r="C290" s="135">
        <v>1112</v>
      </c>
      <c r="D290" s="135" t="s">
        <v>35</v>
      </c>
      <c r="E290" s="170">
        <v>6000</v>
      </c>
      <c r="F290" s="170">
        <v>6000</v>
      </c>
      <c r="G290" s="170">
        <v>4689.4</v>
      </c>
      <c r="H290" s="291">
        <f t="shared" si="8"/>
        <v>78.15666666666667</v>
      </c>
    </row>
    <row r="291" spans="1:8" ht="15">
      <c r="A291" s="135"/>
      <c r="B291" s="135"/>
      <c r="C291" s="135">
        <v>1113</v>
      </c>
      <c r="D291" s="135" t="s">
        <v>36</v>
      </c>
      <c r="E291" s="170">
        <v>4700</v>
      </c>
      <c r="F291" s="170">
        <v>4700</v>
      </c>
      <c r="G291" s="170">
        <v>5300.1</v>
      </c>
      <c r="H291" s="291">
        <f t="shared" si="8"/>
        <v>112.76808510638298</v>
      </c>
    </row>
    <row r="292" spans="1:8" ht="15">
      <c r="A292" s="135"/>
      <c r="B292" s="135"/>
      <c r="C292" s="135">
        <v>1121</v>
      </c>
      <c r="D292" s="135" t="s">
        <v>37</v>
      </c>
      <c r="E292" s="170">
        <v>45000</v>
      </c>
      <c r="F292" s="170">
        <v>45000</v>
      </c>
      <c r="G292" s="171">
        <v>51838.7</v>
      </c>
      <c r="H292" s="291">
        <f t="shared" si="8"/>
        <v>115.1971111111111</v>
      </c>
    </row>
    <row r="293" spans="1:8" ht="15">
      <c r="A293" s="135"/>
      <c r="B293" s="135"/>
      <c r="C293" s="135">
        <v>1122</v>
      </c>
      <c r="D293" s="135" t="s">
        <v>38</v>
      </c>
      <c r="E293" s="171">
        <v>10000</v>
      </c>
      <c r="F293" s="171">
        <v>9425.2</v>
      </c>
      <c r="G293" s="171">
        <v>9425.1</v>
      </c>
      <c r="H293" s="291">
        <f t="shared" si="8"/>
        <v>99.99893901455673</v>
      </c>
    </row>
    <row r="294" spans="1:8" ht="15">
      <c r="A294" s="135"/>
      <c r="B294" s="135"/>
      <c r="C294" s="135">
        <v>1211</v>
      </c>
      <c r="D294" s="135" t="s">
        <v>39</v>
      </c>
      <c r="E294" s="171">
        <v>102000</v>
      </c>
      <c r="F294" s="171">
        <v>102000</v>
      </c>
      <c r="G294" s="171">
        <v>111057.7</v>
      </c>
      <c r="H294" s="291">
        <f t="shared" si="8"/>
        <v>108.88009803921568</v>
      </c>
    </row>
    <row r="295" spans="1:8" ht="15">
      <c r="A295" s="135"/>
      <c r="B295" s="135"/>
      <c r="C295" s="135">
        <v>1340</v>
      </c>
      <c r="D295" s="135" t="s">
        <v>275</v>
      </c>
      <c r="E295" s="171">
        <v>10300</v>
      </c>
      <c r="F295" s="171">
        <v>10300</v>
      </c>
      <c r="G295" s="185">
        <v>10753.9</v>
      </c>
      <c r="H295" s="291">
        <f t="shared" si="8"/>
        <v>104.40679611650485</v>
      </c>
    </row>
    <row r="296" spans="1:8" ht="15">
      <c r="A296" s="135"/>
      <c r="B296" s="135"/>
      <c r="C296" s="135">
        <v>1341</v>
      </c>
      <c r="D296" s="135" t="s">
        <v>276</v>
      </c>
      <c r="E296" s="185">
        <v>950</v>
      </c>
      <c r="F296" s="185">
        <v>950</v>
      </c>
      <c r="G296" s="185">
        <v>863.8</v>
      </c>
      <c r="H296" s="291">
        <f t="shared" si="8"/>
        <v>90.92631578947368</v>
      </c>
    </row>
    <row r="297" spans="1:8" ht="15" customHeight="1">
      <c r="A297" s="168"/>
      <c r="B297" s="169"/>
      <c r="C297" s="150">
        <v>1342</v>
      </c>
      <c r="D297" s="150" t="s">
        <v>277</v>
      </c>
      <c r="E297" s="134">
        <v>50</v>
      </c>
      <c r="F297" s="134">
        <v>50</v>
      </c>
      <c r="G297" s="134">
        <v>117.7</v>
      </c>
      <c r="H297" s="291">
        <f t="shared" si="8"/>
        <v>235.4</v>
      </c>
    </row>
    <row r="298" spans="1:8" ht="15">
      <c r="A298" s="186"/>
      <c r="B298" s="150"/>
      <c r="C298" s="150">
        <v>1343</v>
      </c>
      <c r="D298" s="150" t="s">
        <v>278</v>
      </c>
      <c r="E298" s="134">
        <v>1100</v>
      </c>
      <c r="F298" s="134">
        <v>1100</v>
      </c>
      <c r="G298" s="134">
        <v>1236</v>
      </c>
      <c r="H298" s="291">
        <f t="shared" si="8"/>
        <v>112.36363636363636</v>
      </c>
    </row>
    <row r="299" spans="1:8" ht="15">
      <c r="A299" s="156"/>
      <c r="B299" s="135"/>
      <c r="C299" s="135">
        <v>1345</v>
      </c>
      <c r="D299" s="135" t="s">
        <v>279</v>
      </c>
      <c r="E299" s="170">
        <v>200</v>
      </c>
      <c r="F299" s="170">
        <v>200</v>
      </c>
      <c r="G299" s="170">
        <v>228.5</v>
      </c>
      <c r="H299" s="291">
        <f t="shared" si="8"/>
        <v>114.25</v>
      </c>
    </row>
    <row r="300" spans="1:8" ht="15">
      <c r="A300" s="135"/>
      <c r="B300" s="135"/>
      <c r="C300" s="135">
        <v>1347</v>
      </c>
      <c r="D300" s="135" t="s">
        <v>280</v>
      </c>
      <c r="E300" s="185">
        <v>0</v>
      </c>
      <c r="F300" s="185">
        <v>0</v>
      </c>
      <c r="G300" s="185">
        <v>697.8</v>
      </c>
      <c r="H300" s="291" t="e">
        <f t="shared" si="8"/>
        <v>#DIV/0!</v>
      </c>
    </row>
    <row r="301" spans="1:8" ht="15" hidden="1">
      <c r="A301" s="135"/>
      <c r="B301" s="135"/>
      <c r="C301" s="135">
        <v>1349</v>
      </c>
      <c r="D301" s="135" t="s">
        <v>281</v>
      </c>
      <c r="E301" s="171"/>
      <c r="F301" s="171"/>
      <c r="G301" s="171"/>
      <c r="H301" s="291" t="e">
        <f t="shared" si="8"/>
        <v>#DIV/0!</v>
      </c>
    </row>
    <row r="302" spans="1:8" ht="15">
      <c r="A302" s="135"/>
      <c r="B302" s="135"/>
      <c r="C302" s="135">
        <v>1351.5</v>
      </c>
      <c r="D302" s="135" t="s">
        <v>282</v>
      </c>
      <c r="E302" s="171">
        <v>18500</v>
      </c>
      <c r="F302" s="171">
        <v>18500</v>
      </c>
      <c r="G302" s="171">
        <f>1083.5+19980.2</f>
        <v>21063.7</v>
      </c>
      <c r="H302" s="291">
        <f t="shared" si="8"/>
        <v>113.85783783783785</v>
      </c>
    </row>
    <row r="303" spans="1:8" ht="15">
      <c r="A303" s="135"/>
      <c r="B303" s="135"/>
      <c r="C303" s="135">
        <v>1361</v>
      </c>
      <c r="D303" s="135" t="s">
        <v>283</v>
      </c>
      <c r="E303" s="185">
        <v>0</v>
      </c>
      <c r="F303" s="185">
        <v>0</v>
      </c>
      <c r="G303" s="185">
        <v>0.2</v>
      </c>
      <c r="H303" s="291" t="e">
        <f t="shared" si="8"/>
        <v>#DIV/0!</v>
      </c>
    </row>
    <row r="304" spans="1:8" ht="15">
      <c r="A304" s="135"/>
      <c r="B304" s="135"/>
      <c r="C304" s="135">
        <v>1511</v>
      </c>
      <c r="D304" s="135" t="s">
        <v>40</v>
      </c>
      <c r="E304" s="136">
        <v>21500</v>
      </c>
      <c r="F304" s="136">
        <v>21500</v>
      </c>
      <c r="G304" s="136">
        <v>22091.6</v>
      </c>
      <c r="H304" s="291">
        <f t="shared" si="8"/>
        <v>102.75162790697674</v>
      </c>
    </row>
    <row r="305" spans="1:8" ht="15" customHeight="1" hidden="1">
      <c r="A305" s="135"/>
      <c r="B305" s="135"/>
      <c r="C305" s="135">
        <v>2460</v>
      </c>
      <c r="D305" s="135" t="s">
        <v>284</v>
      </c>
      <c r="E305" s="136"/>
      <c r="F305" s="136"/>
      <c r="G305" s="136"/>
      <c r="H305" s="291" t="e">
        <f t="shared" si="8"/>
        <v>#DIV/0!</v>
      </c>
    </row>
    <row r="306" spans="1:8" ht="15">
      <c r="A306" s="135"/>
      <c r="B306" s="135"/>
      <c r="C306" s="135">
        <v>4112</v>
      </c>
      <c r="D306" s="135" t="s">
        <v>285</v>
      </c>
      <c r="E306" s="136">
        <v>34000</v>
      </c>
      <c r="F306" s="136">
        <v>34754</v>
      </c>
      <c r="G306" s="136">
        <v>34754</v>
      </c>
      <c r="H306" s="291">
        <f t="shared" si="8"/>
        <v>100</v>
      </c>
    </row>
    <row r="307" spans="1:8" ht="15" hidden="1">
      <c r="A307" s="135"/>
      <c r="B307" s="135">
        <v>6171</v>
      </c>
      <c r="C307" s="135">
        <v>2212</v>
      </c>
      <c r="D307" s="135" t="s">
        <v>286</v>
      </c>
      <c r="E307" s="136"/>
      <c r="F307" s="136"/>
      <c r="G307" s="136"/>
      <c r="H307" s="291" t="e">
        <f t="shared" si="8"/>
        <v>#DIV/0!</v>
      </c>
    </row>
    <row r="308" spans="1:8" ht="15">
      <c r="A308" s="135"/>
      <c r="B308" s="135"/>
      <c r="C308" s="135">
        <v>4132</v>
      </c>
      <c r="D308" s="135" t="s">
        <v>287</v>
      </c>
      <c r="E308" s="136">
        <v>0</v>
      </c>
      <c r="F308" s="136">
        <v>0</v>
      </c>
      <c r="G308" s="136">
        <v>125.5</v>
      </c>
      <c r="H308" s="291" t="e">
        <f t="shared" si="8"/>
        <v>#DIV/0!</v>
      </c>
    </row>
    <row r="309" spans="1:8" ht="15" hidden="1">
      <c r="A309" s="135"/>
      <c r="B309" s="135">
        <v>6171</v>
      </c>
      <c r="C309" s="135">
        <v>2328</v>
      </c>
      <c r="D309" s="135" t="s">
        <v>288</v>
      </c>
      <c r="E309" s="136"/>
      <c r="F309" s="136"/>
      <c r="G309" s="136"/>
      <c r="H309" s="291" t="e">
        <f t="shared" si="8"/>
        <v>#DIV/0!</v>
      </c>
    </row>
    <row r="310" spans="1:8" ht="15">
      <c r="A310" s="135"/>
      <c r="B310" s="135">
        <v>6310</v>
      </c>
      <c r="C310" s="135">
        <v>2141</v>
      </c>
      <c r="D310" s="135" t="s">
        <v>289</v>
      </c>
      <c r="E310" s="136">
        <v>300</v>
      </c>
      <c r="F310" s="136">
        <v>300</v>
      </c>
      <c r="G310" s="136">
        <v>564.8</v>
      </c>
      <c r="H310" s="291">
        <f t="shared" si="8"/>
        <v>188.26666666666665</v>
      </c>
    </row>
    <row r="311" spans="1:8" ht="15" hidden="1">
      <c r="A311" s="135"/>
      <c r="B311" s="135">
        <v>6310</v>
      </c>
      <c r="C311" s="135">
        <v>2142</v>
      </c>
      <c r="D311" s="135" t="s">
        <v>290</v>
      </c>
      <c r="E311" s="187"/>
      <c r="F311" s="187"/>
      <c r="G311" s="136"/>
      <c r="H311" s="291" t="e">
        <f t="shared" si="8"/>
        <v>#DIV/0!</v>
      </c>
    </row>
    <row r="312" spans="1:8" ht="15">
      <c r="A312" s="135"/>
      <c r="B312" s="135">
        <v>6310</v>
      </c>
      <c r="C312" s="135">
        <v>2143</v>
      </c>
      <c r="D312" s="135" t="s">
        <v>291</v>
      </c>
      <c r="E312" s="187">
        <v>0</v>
      </c>
      <c r="F312" s="187">
        <v>0</v>
      </c>
      <c r="G312" s="136">
        <v>276</v>
      </c>
      <c r="H312" s="291" t="e">
        <f t="shared" si="8"/>
        <v>#DIV/0!</v>
      </c>
    </row>
    <row r="313" spans="1:8" ht="15">
      <c r="A313" s="135"/>
      <c r="B313" s="135">
        <v>6310</v>
      </c>
      <c r="C313" s="135">
        <v>2324</v>
      </c>
      <c r="D313" s="135" t="s">
        <v>292</v>
      </c>
      <c r="E313" s="187">
        <v>0</v>
      </c>
      <c r="F313" s="187">
        <v>0</v>
      </c>
      <c r="G313" s="136">
        <v>2.6</v>
      </c>
      <c r="H313" s="291" t="e">
        <f t="shared" si="8"/>
        <v>#DIV/0!</v>
      </c>
    </row>
    <row r="314" spans="1:8" ht="15">
      <c r="A314" s="135"/>
      <c r="B314" s="135">
        <v>6310</v>
      </c>
      <c r="C314" s="135">
        <v>2329</v>
      </c>
      <c r="D314" s="135" t="s">
        <v>293</v>
      </c>
      <c r="E314" s="187">
        <v>0</v>
      </c>
      <c r="F314" s="187">
        <v>0</v>
      </c>
      <c r="G314" s="136">
        <v>0</v>
      </c>
      <c r="H314" s="291" t="e">
        <f t="shared" si="8"/>
        <v>#DIV/0!</v>
      </c>
    </row>
    <row r="315" spans="1:8" ht="15">
      <c r="A315" s="135"/>
      <c r="B315" s="135">
        <v>6409</v>
      </c>
      <c r="C315" s="135">
        <v>2328</v>
      </c>
      <c r="D315" s="135" t="s">
        <v>294</v>
      </c>
      <c r="E315" s="187">
        <v>0</v>
      </c>
      <c r="F315" s="187">
        <v>0</v>
      </c>
      <c r="G315" s="136">
        <v>2.5</v>
      </c>
      <c r="H315" s="291" t="e">
        <f t="shared" si="8"/>
        <v>#DIV/0!</v>
      </c>
    </row>
    <row r="316" spans="1:8" ht="15.75" customHeight="1" thickBot="1">
      <c r="A316" s="173"/>
      <c r="B316" s="173"/>
      <c r="C316" s="173"/>
      <c r="D316" s="173"/>
      <c r="E316" s="188"/>
      <c r="F316" s="188"/>
      <c r="G316" s="188"/>
      <c r="H316" s="301"/>
    </row>
    <row r="317" spans="1:8" s="146" customFormat="1" ht="21.75" customHeight="1" thickBot="1" thickTop="1">
      <c r="A317" s="176"/>
      <c r="B317" s="176"/>
      <c r="C317" s="176"/>
      <c r="D317" s="177" t="s">
        <v>295</v>
      </c>
      <c r="E317" s="178">
        <f>SUM(E289:E316)</f>
        <v>302600</v>
      </c>
      <c r="F317" s="178">
        <f>SUM(F289:F316)</f>
        <v>302779.2</v>
      </c>
      <c r="G317" s="178">
        <f>SUM(G289:G316)</f>
        <v>330098.99999999994</v>
      </c>
      <c r="H317" s="293">
        <f>(G317/F317)*100</f>
        <v>109.02301082769223</v>
      </c>
    </row>
    <row r="318" spans="1:8" ht="15" customHeight="1" thickBot="1">
      <c r="A318" s="165"/>
      <c r="B318" s="165"/>
      <c r="C318" s="165"/>
      <c r="D318" s="128"/>
      <c r="E318" s="166"/>
      <c r="F318" s="166"/>
      <c r="G318" s="166"/>
      <c r="H318" s="297"/>
    </row>
    <row r="319" spans="1:8" ht="15" hidden="1">
      <c r="A319" s="146"/>
      <c r="B319" s="165"/>
      <c r="C319" s="165"/>
      <c r="D319" s="165"/>
      <c r="E319" s="189"/>
      <c r="F319" s="189"/>
      <c r="G319" s="189"/>
      <c r="H319" s="302"/>
    </row>
    <row r="320" spans="1:8" ht="15" hidden="1">
      <c r="A320" s="146"/>
      <c r="B320" s="165"/>
      <c r="C320" s="165"/>
      <c r="D320" s="165"/>
      <c r="E320" s="189"/>
      <c r="F320" s="189"/>
      <c r="G320" s="189"/>
      <c r="H320" s="302"/>
    </row>
    <row r="321" spans="1:8" ht="15" customHeight="1" hidden="1" thickBot="1">
      <c r="A321" s="146"/>
      <c r="B321" s="165"/>
      <c r="C321" s="165"/>
      <c r="D321" s="165"/>
      <c r="E321" s="189"/>
      <c r="F321" s="189"/>
      <c r="G321" s="189"/>
      <c r="H321" s="302"/>
    </row>
    <row r="322" spans="1:8" ht="15.75">
      <c r="A322" s="311" t="s">
        <v>76</v>
      </c>
      <c r="B322" s="311" t="s">
        <v>77</v>
      </c>
      <c r="C322" s="311" t="s">
        <v>78</v>
      </c>
      <c r="D322" s="312" t="s">
        <v>79</v>
      </c>
      <c r="E322" s="313" t="s">
        <v>26</v>
      </c>
      <c r="F322" s="313" t="s">
        <v>26</v>
      </c>
      <c r="G322" s="313" t="s">
        <v>8</v>
      </c>
      <c r="H322" s="318" t="s">
        <v>80</v>
      </c>
    </row>
    <row r="323" spans="1:8" ht="15.75" customHeight="1" thickBot="1">
      <c r="A323" s="314"/>
      <c r="B323" s="314"/>
      <c r="C323" s="314"/>
      <c r="D323" s="315"/>
      <c r="E323" s="316" t="s">
        <v>28</v>
      </c>
      <c r="F323" s="316" t="s">
        <v>29</v>
      </c>
      <c r="G323" s="317" t="s">
        <v>30</v>
      </c>
      <c r="H323" s="319" t="s">
        <v>31</v>
      </c>
    </row>
    <row r="324" spans="1:8" ht="16.5" customHeight="1" thickTop="1">
      <c r="A324" s="132">
        <v>120</v>
      </c>
      <c r="B324" s="132"/>
      <c r="C324" s="132"/>
      <c r="D324" s="169" t="s">
        <v>296</v>
      </c>
      <c r="E324" s="134"/>
      <c r="F324" s="134"/>
      <c r="G324" s="134"/>
      <c r="H324" s="295"/>
    </row>
    <row r="325" spans="1:8" ht="15.75">
      <c r="A325" s="169"/>
      <c r="B325" s="169"/>
      <c r="C325" s="169"/>
      <c r="D325" s="169"/>
      <c r="E325" s="136"/>
      <c r="F325" s="136"/>
      <c r="G325" s="136"/>
      <c r="H325" s="291"/>
    </row>
    <row r="326" spans="1:8" ht="15">
      <c r="A326" s="135"/>
      <c r="B326" s="135"/>
      <c r="C326" s="135">
        <v>1361</v>
      </c>
      <c r="D326" s="135" t="s">
        <v>43</v>
      </c>
      <c r="E326" s="190">
        <v>0</v>
      </c>
      <c r="F326" s="190">
        <v>0</v>
      </c>
      <c r="G326" s="190">
        <v>2.2</v>
      </c>
      <c r="H326" s="291" t="e">
        <f aca="true" t="shared" si="9" ref="H326:H358">(G326/F326)*100</f>
        <v>#DIV/0!</v>
      </c>
    </row>
    <row r="327" spans="1:8" ht="15">
      <c r="A327" s="135"/>
      <c r="B327" s="135">
        <v>3612</v>
      </c>
      <c r="C327" s="135">
        <v>2111</v>
      </c>
      <c r="D327" s="135" t="s">
        <v>297</v>
      </c>
      <c r="E327" s="190">
        <v>4000</v>
      </c>
      <c r="F327" s="190">
        <v>4000</v>
      </c>
      <c r="G327" s="190">
        <v>4175.1</v>
      </c>
      <c r="H327" s="291">
        <f t="shared" si="9"/>
        <v>104.37750000000001</v>
      </c>
    </row>
    <row r="328" spans="1:8" ht="15">
      <c r="A328" s="135"/>
      <c r="B328" s="135">
        <v>3612</v>
      </c>
      <c r="C328" s="135">
        <v>2132</v>
      </c>
      <c r="D328" s="135" t="s">
        <v>298</v>
      </c>
      <c r="E328" s="190">
        <v>8600</v>
      </c>
      <c r="F328" s="190">
        <v>8600</v>
      </c>
      <c r="G328" s="190">
        <v>8619.8</v>
      </c>
      <c r="H328" s="291">
        <f t="shared" si="9"/>
        <v>100.23023255813952</v>
      </c>
    </row>
    <row r="329" spans="1:8" ht="15">
      <c r="A329" s="135"/>
      <c r="B329" s="135">
        <v>3612</v>
      </c>
      <c r="C329" s="135">
        <v>2322</v>
      </c>
      <c r="D329" s="135" t="s">
        <v>265</v>
      </c>
      <c r="E329" s="190">
        <v>0</v>
      </c>
      <c r="F329" s="190">
        <v>0</v>
      </c>
      <c r="G329" s="190">
        <v>108.7</v>
      </c>
      <c r="H329" s="291" t="e">
        <f t="shared" si="9"/>
        <v>#DIV/0!</v>
      </c>
    </row>
    <row r="330" spans="1:8" ht="15">
      <c r="A330" s="135"/>
      <c r="B330" s="135">
        <v>3612</v>
      </c>
      <c r="C330" s="135">
        <v>2324</v>
      </c>
      <c r="D330" s="135" t="s">
        <v>299</v>
      </c>
      <c r="E330" s="136">
        <v>0</v>
      </c>
      <c r="F330" s="136">
        <v>0</v>
      </c>
      <c r="G330" s="136">
        <v>992.8</v>
      </c>
      <c r="H330" s="291" t="e">
        <f t="shared" si="9"/>
        <v>#DIV/0!</v>
      </c>
    </row>
    <row r="331" spans="1:8" ht="15" hidden="1">
      <c r="A331" s="135"/>
      <c r="B331" s="135">
        <v>3612</v>
      </c>
      <c r="C331" s="135">
        <v>2329</v>
      </c>
      <c r="D331" s="135" t="s">
        <v>300</v>
      </c>
      <c r="E331" s="136"/>
      <c r="F331" s="136"/>
      <c r="G331" s="136"/>
      <c r="H331" s="291" t="e">
        <f t="shared" si="9"/>
        <v>#DIV/0!</v>
      </c>
    </row>
    <row r="332" spans="1:8" ht="15">
      <c r="A332" s="135"/>
      <c r="B332" s="135">
        <v>3612</v>
      </c>
      <c r="C332" s="135">
        <v>3112</v>
      </c>
      <c r="D332" s="135" t="s">
        <v>301</v>
      </c>
      <c r="E332" s="136">
        <v>4130</v>
      </c>
      <c r="F332" s="136">
        <v>4130</v>
      </c>
      <c r="G332" s="136">
        <v>3008.2</v>
      </c>
      <c r="H332" s="291">
        <f t="shared" si="9"/>
        <v>72.83777239709443</v>
      </c>
    </row>
    <row r="333" spans="1:8" ht="15">
      <c r="A333" s="135"/>
      <c r="B333" s="135">
        <v>3613</v>
      </c>
      <c r="C333" s="135">
        <v>2111</v>
      </c>
      <c r="D333" s="135" t="s">
        <v>302</v>
      </c>
      <c r="E333" s="190">
        <v>1950</v>
      </c>
      <c r="F333" s="190">
        <v>1950</v>
      </c>
      <c r="G333" s="190">
        <v>1861.5</v>
      </c>
      <c r="H333" s="291">
        <f t="shared" si="9"/>
        <v>95.46153846153847</v>
      </c>
    </row>
    <row r="334" spans="1:8" ht="15">
      <c r="A334" s="135"/>
      <c r="B334" s="135">
        <v>3613</v>
      </c>
      <c r="C334" s="135">
        <v>2132</v>
      </c>
      <c r="D334" s="135" t="s">
        <v>303</v>
      </c>
      <c r="E334" s="190">
        <v>4800</v>
      </c>
      <c r="F334" s="190">
        <v>4800</v>
      </c>
      <c r="G334" s="190">
        <v>5046.9</v>
      </c>
      <c r="H334" s="291">
        <f t="shared" si="9"/>
        <v>105.14375</v>
      </c>
    </row>
    <row r="335" spans="1:8" ht="15" hidden="1">
      <c r="A335" s="138"/>
      <c r="B335" s="135">
        <v>3613</v>
      </c>
      <c r="C335" s="135">
        <v>2133</v>
      </c>
      <c r="D335" s="135" t="s">
        <v>304</v>
      </c>
      <c r="E335" s="136"/>
      <c r="F335" s="136"/>
      <c r="G335" s="136"/>
      <c r="H335" s="291" t="e">
        <f t="shared" si="9"/>
        <v>#DIV/0!</v>
      </c>
    </row>
    <row r="336" spans="1:8" ht="15" hidden="1">
      <c r="A336" s="138"/>
      <c r="B336" s="135">
        <v>3613</v>
      </c>
      <c r="C336" s="135">
        <v>2310</v>
      </c>
      <c r="D336" s="135" t="s">
        <v>305</v>
      </c>
      <c r="E336" s="136"/>
      <c r="F336" s="136"/>
      <c r="G336" s="136"/>
      <c r="H336" s="291" t="e">
        <f t="shared" si="9"/>
        <v>#DIV/0!</v>
      </c>
    </row>
    <row r="337" spans="1:8" ht="15" hidden="1">
      <c r="A337" s="138"/>
      <c r="B337" s="135">
        <v>3613</v>
      </c>
      <c r="C337" s="135">
        <v>2322</v>
      </c>
      <c r="D337" s="135" t="s">
        <v>306</v>
      </c>
      <c r="E337" s="136"/>
      <c r="F337" s="136"/>
      <c r="G337" s="136"/>
      <c r="H337" s="291" t="e">
        <f t="shared" si="9"/>
        <v>#DIV/0!</v>
      </c>
    </row>
    <row r="338" spans="1:8" ht="15">
      <c r="A338" s="138"/>
      <c r="B338" s="135">
        <v>3613</v>
      </c>
      <c r="C338" s="135">
        <v>2324</v>
      </c>
      <c r="D338" s="135" t="s">
        <v>307</v>
      </c>
      <c r="E338" s="136">
        <v>0</v>
      </c>
      <c r="F338" s="136">
        <v>0</v>
      </c>
      <c r="G338" s="136">
        <v>211.4</v>
      </c>
      <c r="H338" s="291" t="e">
        <f t="shared" si="9"/>
        <v>#DIV/0!</v>
      </c>
    </row>
    <row r="339" spans="1:8" ht="15">
      <c r="A339" s="138"/>
      <c r="B339" s="135">
        <v>3613</v>
      </c>
      <c r="C339" s="135">
        <v>3112</v>
      </c>
      <c r="D339" s="135" t="s">
        <v>308</v>
      </c>
      <c r="E339" s="136">
        <v>1327</v>
      </c>
      <c r="F339" s="136">
        <v>1327</v>
      </c>
      <c r="G339" s="136">
        <v>534.4</v>
      </c>
      <c r="H339" s="291">
        <f t="shared" si="9"/>
        <v>40.271288620949505</v>
      </c>
    </row>
    <row r="340" spans="1:8" ht="15">
      <c r="A340" s="138"/>
      <c r="B340" s="135">
        <v>3631</v>
      </c>
      <c r="C340" s="135">
        <v>2133</v>
      </c>
      <c r="D340" s="135" t="s">
        <v>309</v>
      </c>
      <c r="E340" s="136">
        <v>380</v>
      </c>
      <c r="F340" s="136">
        <v>380</v>
      </c>
      <c r="G340" s="136">
        <v>323.3</v>
      </c>
      <c r="H340" s="291">
        <f t="shared" si="9"/>
        <v>85.07894736842105</v>
      </c>
    </row>
    <row r="341" spans="1:8" ht="15">
      <c r="A341" s="138"/>
      <c r="B341" s="135">
        <v>3632</v>
      </c>
      <c r="C341" s="135">
        <v>2111</v>
      </c>
      <c r="D341" s="135" t="s">
        <v>310</v>
      </c>
      <c r="E341" s="136">
        <v>400</v>
      </c>
      <c r="F341" s="136">
        <v>400</v>
      </c>
      <c r="G341" s="136">
        <v>668.7</v>
      </c>
      <c r="H341" s="291">
        <f t="shared" si="9"/>
        <v>167.175</v>
      </c>
    </row>
    <row r="342" spans="1:8" ht="15">
      <c r="A342" s="138"/>
      <c r="B342" s="135">
        <v>3632</v>
      </c>
      <c r="C342" s="135">
        <v>2132</v>
      </c>
      <c r="D342" s="135" t="s">
        <v>311</v>
      </c>
      <c r="E342" s="136">
        <v>20</v>
      </c>
      <c r="F342" s="136">
        <v>20</v>
      </c>
      <c r="G342" s="136">
        <v>20</v>
      </c>
      <c r="H342" s="291">
        <f t="shared" si="9"/>
        <v>100</v>
      </c>
    </row>
    <row r="343" spans="1:8" ht="15">
      <c r="A343" s="138"/>
      <c r="B343" s="135">
        <v>3632</v>
      </c>
      <c r="C343" s="135">
        <v>2133</v>
      </c>
      <c r="D343" s="135" t="s">
        <v>312</v>
      </c>
      <c r="E343" s="136">
        <v>5</v>
      </c>
      <c r="F343" s="136">
        <v>5</v>
      </c>
      <c r="G343" s="136">
        <v>5</v>
      </c>
      <c r="H343" s="291">
        <f t="shared" si="9"/>
        <v>100</v>
      </c>
    </row>
    <row r="344" spans="1:8" ht="15">
      <c r="A344" s="138"/>
      <c r="B344" s="135">
        <v>3632</v>
      </c>
      <c r="C344" s="135">
        <v>2324</v>
      </c>
      <c r="D344" s="135" t="s">
        <v>313</v>
      </c>
      <c r="E344" s="136">
        <v>0</v>
      </c>
      <c r="F344" s="136">
        <v>0</v>
      </c>
      <c r="G344" s="136">
        <v>110.8</v>
      </c>
      <c r="H344" s="291" t="e">
        <f t="shared" si="9"/>
        <v>#DIV/0!</v>
      </c>
    </row>
    <row r="345" spans="1:8" ht="15">
      <c r="A345" s="138"/>
      <c r="B345" s="135">
        <v>3632</v>
      </c>
      <c r="C345" s="135">
        <v>2329</v>
      </c>
      <c r="D345" s="135" t="s">
        <v>314</v>
      </c>
      <c r="E345" s="136">
        <v>50</v>
      </c>
      <c r="F345" s="136">
        <v>50</v>
      </c>
      <c r="G345" s="136">
        <v>67</v>
      </c>
      <c r="H345" s="291">
        <f t="shared" si="9"/>
        <v>134</v>
      </c>
    </row>
    <row r="346" spans="1:8" ht="15">
      <c r="A346" s="138"/>
      <c r="B346" s="135">
        <v>3634</v>
      </c>
      <c r="C346" s="135">
        <v>2132</v>
      </c>
      <c r="D346" s="135" t="s">
        <v>315</v>
      </c>
      <c r="E346" s="136">
        <v>4171</v>
      </c>
      <c r="F346" s="136">
        <v>4171</v>
      </c>
      <c r="G346" s="136">
        <v>4157.5</v>
      </c>
      <c r="H346" s="291">
        <f t="shared" si="9"/>
        <v>99.67633660992567</v>
      </c>
    </row>
    <row r="347" spans="1:8" ht="15" hidden="1">
      <c r="A347" s="138"/>
      <c r="B347" s="135">
        <v>3636</v>
      </c>
      <c r="C347" s="135">
        <v>2131</v>
      </c>
      <c r="D347" s="135" t="s">
        <v>316</v>
      </c>
      <c r="E347" s="136"/>
      <c r="F347" s="136"/>
      <c r="G347" s="136"/>
      <c r="H347" s="291" t="e">
        <f t="shared" si="9"/>
        <v>#DIV/0!</v>
      </c>
    </row>
    <row r="348" spans="1:8" ht="15">
      <c r="A348" s="138"/>
      <c r="B348" s="135">
        <v>3639</v>
      </c>
      <c r="C348" s="135">
        <v>2119</v>
      </c>
      <c r="D348" s="135" t="s">
        <v>317</v>
      </c>
      <c r="E348" s="136">
        <v>100</v>
      </c>
      <c r="F348" s="136">
        <v>100</v>
      </c>
      <c r="G348" s="136">
        <v>583.5</v>
      </c>
      <c r="H348" s="291">
        <f t="shared" si="9"/>
        <v>583.5</v>
      </c>
    </row>
    <row r="349" spans="1:8" ht="15">
      <c r="A349" s="135"/>
      <c r="B349" s="135">
        <v>3639</v>
      </c>
      <c r="C349" s="135">
        <v>2131</v>
      </c>
      <c r="D349" s="135" t="s">
        <v>318</v>
      </c>
      <c r="E349" s="136">
        <v>1600</v>
      </c>
      <c r="F349" s="136">
        <v>1600</v>
      </c>
      <c r="G349" s="136">
        <v>2245.7</v>
      </c>
      <c r="H349" s="291">
        <f t="shared" si="9"/>
        <v>140.35625</v>
      </c>
    </row>
    <row r="350" spans="1:8" ht="15">
      <c r="A350" s="135"/>
      <c r="B350" s="135">
        <v>3639</v>
      </c>
      <c r="C350" s="135">
        <v>2132</v>
      </c>
      <c r="D350" s="135" t="s">
        <v>319</v>
      </c>
      <c r="E350" s="136">
        <v>18</v>
      </c>
      <c r="F350" s="136">
        <v>18</v>
      </c>
      <c r="G350" s="136">
        <v>11.5</v>
      </c>
      <c r="H350" s="291">
        <f t="shared" si="9"/>
        <v>63.888888888888886</v>
      </c>
    </row>
    <row r="351" spans="1:8" ht="15" customHeight="1">
      <c r="A351" s="135"/>
      <c r="B351" s="135">
        <v>3639</v>
      </c>
      <c r="C351" s="135">
        <v>2212</v>
      </c>
      <c r="D351" s="135" t="s">
        <v>47</v>
      </c>
      <c r="E351" s="136">
        <v>0</v>
      </c>
      <c r="F351" s="136">
        <v>0</v>
      </c>
      <c r="G351" s="136">
        <v>83.5</v>
      </c>
      <c r="H351" s="291" t="e">
        <f t="shared" si="9"/>
        <v>#DIV/0!</v>
      </c>
    </row>
    <row r="352" spans="1:8" ht="15">
      <c r="A352" s="135"/>
      <c r="B352" s="135">
        <v>3639</v>
      </c>
      <c r="C352" s="135">
        <v>2324</v>
      </c>
      <c r="D352" s="135" t="s">
        <v>320</v>
      </c>
      <c r="E352" s="136">
        <v>110.1</v>
      </c>
      <c r="F352" s="136">
        <v>110.1</v>
      </c>
      <c r="G352" s="136">
        <v>250.3</v>
      </c>
      <c r="H352" s="291">
        <f t="shared" si="9"/>
        <v>227.33878292461404</v>
      </c>
    </row>
    <row r="353" spans="1:8" ht="15">
      <c r="A353" s="135"/>
      <c r="B353" s="135">
        <v>3639</v>
      </c>
      <c r="C353" s="135">
        <v>2328</v>
      </c>
      <c r="D353" s="135" t="s">
        <v>321</v>
      </c>
      <c r="E353" s="136">
        <v>0</v>
      </c>
      <c r="F353" s="136">
        <v>0</v>
      </c>
      <c r="G353" s="136">
        <v>0</v>
      </c>
      <c r="H353" s="291" t="e">
        <f t="shared" si="9"/>
        <v>#DIV/0!</v>
      </c>
    </row>
    <row r="354" spans="1:8" ht="15" customHeight="1">
      <c r="A354" s="153"/>
      <c r="B354" s="153">
        <v>3639</v>
      </c>
      <c r="C354" s="153">
        <v>2329</v>
      </c>
      <c r="D354" s="153" t="s">
        <v>115</v>
      </c>
      <c r="E354" s="136">
        <v>0</v>
      </c>
      <c r="F354" s="136">
        <v>0</v>
      </c>
      <c r="G354" s="136">
        <v>0.5</v>
      </c>
      <c r="H354" s="291" t="e">
        <f t="shared" si="9"/>
        <v>#DIV/0!</v>
      </c>
    </row>
    <row r="355" spans="1:8" ht="15">
      <c r="A355" s="135"/>
      <c r="B355" s="135">
        <v>3639</v>
      </c>
      <c r="C355" s="135">
        <v>3111</v>
      </c>
      <c r="D355" s="135" t="s">
        <v>322</v>
      </c>
      <c r="E355" s="136">
        <v>214</v>
      </c>
      <c r="F355" s="136">
        <v>214</v>
      </c>
      <c r="G355" s="136">
        <v>827.3</v>
      </c>
      <c r="H355" s="291">
        <f t="shared" si="9"/>
        <v>386.58878504672896</v>
      </c>
    </row>
    <row r="356" spans="1:8" ht="15" hidden="1">
      <c r="A356" s="135"/>
      <c r="B356" s="135">
        <v>3639</v>
      </c>
      <c r="C356" s="135">
        <v>3112</v>
      </c>
      <c r="D356" s="135" t="s">
        <v>323</v>
      </c>
      <c r="E356" s="136"/>
      <c r="F356" s="136"/>
      <c r="G356" s="136"/>
      <c r="H356" s="291" t="e">
        <f t="shared" si="9"/>
        <v>#DIV/0!</v>
      </c>
    </row>
    <row r="357" spans="1:8" ht="15" hidden="1">
      <c r="A357" s="135"/>
      <c r="B357" s="135">
        <v>3639</v>
      </c>
      <c r="C357" s="135">
        <v>3113</v>
      </c>
      <c r="D357" s="135" t="s">
        <v>324</v>
      </c>
      <c r="E357" s="136"/>
      <c r="F357" s="136"/>
      <c r="G357" s="136"/>
      <c r="H357" s="291" t="e">
        <f t="shared" si="9"/>
        <v>#DIV/0!</v>
      </c>
    </row>
    <row r="358" spans="1:8" ht="15" customHeight="1">
      <c r="A358" s="153"/>
      <c r="B358" s="153">
        <v>3639</v>
      </c>
      <c r="C358" s="153">
        <v>3119</v>
      </c>
      <c r="D358" s="153" t="s">
        <v>325</v>
      </c>
      <c r="E358" s="136">
        <v>7200</v>
      </c>
      <c r="F358" s="136">
        <v>7200</v>
      </c>
      <c r="G358" s="136">
        <v>7200</v>
      </c>
      <c r="H358" s="291">
        <f t="shared" si="9"/>
        <v>100</v>
      </c>
    </row>
    <row r="359" spans="1:8" ht="15" hidden="1">
      <c r="A359" s="153"/>
      <c r="B359" s="153">
        <v>6171</v>
      </c>
      <c r="C359" s="153">
        <v>2131</v>
      </c>
      <c r="D359" s="153" t="s">
        <v>326</v>
      </c>
      <c r="E359" s="136"/>
      <c r="F359" s="136"/>
      <c r="G359" s="136"/>
      <c r="H359" s="291"/>
    </row>
    <row r="360" spans="1:8" ht="15" hidden="1">
      <c r="A360" s="135"/>
      <c r="B360" s="135">
        <v>6171</v>
      </c>
      <c r="C360" s="135">
        <v>2324</v>
      </c>
      <c r="D360" s="135" t="s">
        <v>327</v>
      </c>
      <c r="E360" s="136"/>
      <c r="F360" s="136"/>
      <c r="G360" s="136"/>
      <c r="H360" s="291"/>
    </row>
    <row r="361" spans="1:8" ht="15" hidden="1">
      <c r="A361" s="135"/>
      <c r="B361" s="135"/>
      <c r="C361" s="135"/>
      <c r="D361" s="135"/>
      <c r="E361" s="136"/>
      <c r="F361" s="136"/>
      <c r="G361" s="136"/>
      <c r="H361" s="291"/>
    </row>
    <row r="362" spans="1:8" ht="15" customHeight="1">
      <c r="A362" s="153"/>
      <c r="B362" s="153">
        <v>6171</v>
      </c>
      <c r="C362" s="153">
        <v>2131</v>
      </c>
      <c r="D362" s="153" t="s">
        <v>328</v>
      </c>
      <c r="E362" s="136">
        <v>10</v>
      </c>
      <c r="F362" s="136">
        <v>10</v>
      </c>
      <c r="G362" s="136">
        <v>0</v>
      </c>
      <c r="H362" s="291">
        <f>(G362/F362)*100</f>
        <v>0</v>
      </c>
    </row>
    <row r="363" spans="1:8" ht="15" customHeight="1" hidden="1">
      <c r="A363" s="153"/>
      <c r="B363" s="153">
        <v>6171</v>
      </c>
      <c r="C363" s="153">
        <v>2133</v>
      </c>
      <c r="D363" s="153" t="s">
        <v>329</v>
      </c>
      <c r="E363" s="136"/>
      <c r="F363" s="136"/>
      <c r="G363" s="136"/>
      <c r="H363" s="291" t="e">
        <f>(G363/F363)*100</f>
        <v>#DIV/0!</v>
      </c>
    </row>
    <row r="364" spans="1:8" ht="15" customHeight="1" hidden="1">
      <c r="A364" s="135"/>
      <c r="B364" s="135">
        <v>6409</v>
      </c>
      <c r="C364" s="135">
        <v>2328</v>
      </c>
      <c r="D364" s="135" t="s">
        <v>330</v>
      </c>
      <c r="E364" s="136"/>
      <c r="F364" s="136"/>
      <c r="G364" s="136"/>
      <c r="H364" s="291" t="e">
        <f>(G364/F364)*100</f>
        <v>#DIV/0!</v>
      </c>
    </row>
    <row r="365" spans="1:8" ht="15" customHeight="1">
      <c r="A365" s="153"/>
      <c r="B365" s="153">
        <v>6409</v>
      </c>
      <c r="C365" s="153">
        <v>2328</v>
      </c>
      <c r="D365" s="153" t="s">
        <v>330</v>
      </c>
      <c r="E365" s="136">
        <v>0</v>
      </c>
      <c r="F365" s="136">
        <v>0</v>
      </c>
      <c r="G365" s="136">
        <v>0.8</v>
      </c>
      <c r="H365" s="291" t="e">
        <f>(G365/F365)*100</f>
        <v>#DIV/0!</v>
      </c>
    </row>
    <row r="366" spans="1:8" ht="15.75" customHeight="1" thickBot="1">
      <c r="A366" s="191"/>
      <c r="B366" s="191"/>
      <c r="C366" s="191"/>
      <c r="D366" s="191"/>
      <c r="E366" s="192"/>
      <c r="F366" s="192"/>
      <c r="G366" s="192"/>
      <c r="H366" s="303"/>
    </row>
    <row r="367" spans="1:8" s="146" customFormat="1" ht="22.5" customHeight="1" thickBot="1" thickTop="1">
      <c r="A367" s="176"/>
      <c r="B367" s="176"/>
      <c r="C367" s="176"/>
      <c r="D367" s="177" t="s">
        <v>331</v>
      </c>
      <c r="E367" s="178">
        <f>SUM(E325:E366)</f>
        <v>39085.1</v>
      </c>
      <c r="F367" s="178">
        <f>SUM(F325:F366)</f>
        <v>39085.1</v>
      </c>
      <c r="G367" s="178">
        <f>SUM(G325:G366)</f>
        <v>41116.40000000001</v>
      </c>
      <c r="H367" s="293">
        <f>(G367/F367)*100</f>
        <v>105.19712115358541</v>
      </c>
    </row>
    <row r="368" spans="1:8" ht="15" customHeight="1">
      <c r="A368" s="146"/>
      <c r="B368" s="165"/>
      <c r="C368" s="165"/>
      <c r="D368" s="165"/>
      <c r="E368" s="189"/>
      <c r="F368" s="189"/>
      <c r="G368" s="189"/>
      <c r="H368" s="302"/>
    </row>
    <row r="369" spans="1:8" ht="15" customHeight="1" hidden="1">
      <c r="A369" s="146"/>
      <c r="B369" s="165"/>
      <c r="C369" s="165"/>
      <c r="D369" s="165"/>
      <c r="E369" s="189"/>
      <c r="F369" s="189"/>
      <c r="G369" s="189"/>
      <c r="H369" s="302"/>
    </row>
    <row r="370" spans="1:8" ht="15" customHeight="1" hidden="1">
      <c r="A370" s="146"/>
      <c r="B370" s="165"/>
      <c r="C370" s="165"/>
      <c r="D370" s="165"/>
      <c r="E370" s="189"/>
      <c r="F370" s="189"/>
      <c r="G370" s="189"/>
      <c r="H370" s="302"/>
    </row>
    <row r="371" spans="1:8" ht="15" customHeight="1" hidden="1">
      <c r="A371" s="146"/>
      <c r="B371" s="165"/>
      <c r="C371" s="165"/>
      <c r="D371" s="165"/>
      <c r="E371" s="189"/>
      <c r="F371" s="189"/>
      <c r="G371" s="124"/>
      <c r="H371" s="296"/>
    </row>
    <row r="372" spans="1:8" ht="15" customHeight="1" hidden="1">
      <c r="A372" s="146"/>
      <c r="B372" s="165"/>
      <c r="C372" s="165"/>
      <c r="D372" s="165"/>
      <c r="E372" s="189"/>
      <c r="F372" s="189"/>
      <c r="G372" s="189"/>
      <c r="H372" s="302"/>
    </row>
    <row r="373" spans="1:8" ht="15" customHeight="1">
      <c r="A373" s="146"/>
      <c r="B373" s="165"/>
      <c r="C373" s="165"/>
      <c r="D373" s="165"/>
      <c r="E373" s="189"/>
      <c r="F373" s="189"/>
      <c r="G373" s="189"/>
      <c r="H373" s="302"/>
    </row>
    <row r="374" spans="1:8" ht="15" customHeight="1" thickBot="1">
      <c r="A374" s="146"/>
      <c r="B374" s="165"/>
      <c r="C374" s="165"/>
      <c r="D374" s="165"/>
      <c r="E374" s="189"/>
      <c r="F374" s="189"/>
      <c r="G374" s="189"/>
      <c r="H374" s="302"/>
    </row>
    <row r="375" spans="1:8" ht="15.75">
      <c r="A375" s="311" t="s">
        <v>76</v>
      </c>
      <c r="B375" s="311" t="s">
        <v>77</v>
      </c>
      <c r="C375" s="311" t="s">
        <v>78</v>
      </c>
      <c r="D375" s="312" t="s">
        <v>79</v>
      </c>
      <c r="E375" s="313" t="s">
        <v>26</v>
      </c>
      <c r="F375" s="313" t="s">
        <v>26</v>
      </c>
      <c r="G375" s="313" t="s">
        <v>8</v>
      </c>
      <c r="H375" s="318" t="s">
        <v>80</v>
      </c>
    </row>
    <row r="376" spans="1:8" ht="15.75" customHeight="1" thickBot="1">
      <c r="A376" s="314"/>
      <c r="B376" s="314"/>
      <c r="C376" s="314"/>
      <c r="D376" s="315"/>
      <c r="E376" s="316" t="s">
        <v>28</v>
      </c>
      <c r="F376" s="316" t="s">
        <v>29</v>
      </c>
      <c r="G376" s="317" t="s">
        <v>30</v>
      </c>
      <c r="H376" s="319" t="s">
        <v>31</v>
      </c>
    </row>
    <row r="377" spans="1:8" ht="16.5" thickTop="1">
      <c r="A377" s="132">
        <v>8888</v>
      </c>
      <c r="B377" s="132"/>
      <c r="C377" s="132"/>
      <c r="D377" s="133"/>
      <c r="E377" s="134"/>
      <c r="F377" s="134"/>
      <c r="G377" s="134"/>
      <c r="H377" s="295"/>
    </row>
    <row r="378" spans="1:8" ht="15">
      <c r="A378" s="135"/>
      <c r="B378" s="135">
        <v>6171</v>
      </c>
      <c r="C378" s="135">
        <v>2329</v>
      </c>
      <c r="D378" s="135" t="s">
        <v>332</v>
      </c>
      <c r="E378" s="136">
        <v>0</v>
      </c>
      <c r="F378" s="136">
        <v>0</v>
      </c>
      <c r="G378" s="136">
        <v>0</v>
      </c>
      <c r="H378" s="291" t="e">
        <f>(G378/F378)*100</f>
        <v>#DIV/0!</v>
      </c>
    </row>
    <row r="379" spans="1:8" ht="15">
      <c r="A379" s="135"/>
      <c r="B379" s="135"/>
      <c r="C379" s="135"/>
      <c r="D379" s="135" t="s">
        <v>333</v>
      </c>
      <c r="E379" s="136"/>
      <c r="F379" s="136"/>
      <c r="G379" s="136"/>
      <c r="H379" s="291"/>
    </row>
    <row r="380" spans="1:8" ht="15.75" thickBot="1">
      <c r="A380" s="173"/>
      <c r="B380" s="173"/>
      <c r="C380" s="173"/>
      <c r="D380" s="173" t="s">
        <v>334</v>
      </c>
      <c r="E380" s="174"/>
      <c r="F380" s="174"/>
      <c r="G380" s="174"/>
      <c r="H380" s="299"/>
    </row>
    <row r="381" spans="1:8" s="146" customFormat="1" ht="22.5" customHeight="1" thickBot="1" thickTop="1">
      <c r="A381" s="176"/>
      <c r="B381" s="176"/>
      <c r="C381" s="176"/>
      <c r="D381" s="177" t="s">
        <v>335</v>
      </c>
      <c r="E381" s="178">
        <f>SUM(E378:E379)</f>
        <v>0</v>
      </c>
      <c r="F381" s="178">
        <f>SUM(F378:F379)</f>
        <v>0</v>
      </c>
      <c r="G381" s="178">
        <f>SUM(G378:G379)</f>
        <v>0</v>
      </c>
      <c r="H381" s="293" t="e">
        <f>(G381/F381)*100</f>
        <v>#DIV/0!</v>
      </c>
    </row>
    <row r="382" spans="1:8" ht="15">
      <c r="A382" s="146"/>
      <c r="B382" s="165"/>
      <c r="C382" s="165"/>
      <c r="D382" s="165"/>
      <c r="E382" s="189"/>
      <c r="F382" s="189"/>
      <c r="G382" s="189"/>
      <c r="H382" s="302"/>
    </row>
    <row r="383" spans="1:8" ht="15" hidden="1">
      <c r="A383" s="146"/>
      <c r="B383" s="165"/>
      <c r="C383" s="165"/>
      <c r="D383" s="165"/>
      <c r="E383" s="189"/>
      <c r="F383" s="189"/>
      <c r="G383" s="189"/>
      <c r="H383" s="302"/>
    </row>
    <row r="384" spans="1:8" ht="15" hidden="1">
      <c r="A384" s="146"/>
      <c r="B384" s="165"/>
      <c r="C384" s="165"/>
      <c r="D384" s="165"/>
      <c r="E384" s="189"/>
      <c r="F384" s="189"/>
      <c r="G384" s="189"/>
      <c r="H384" s="302"/>
    </row>
    <row r="385" spans="1:8" ht="15" hidden="1">
      <c r="A385" s="146"/>
      <c r="B385" s="165"/>
      <c r="C385" s="165"/>
      <c r="D385" s="165"/>
      <c r="E385" s="189"/>
      <c r="F385" s="189"/>
      <c r="G385" s="189"/>
      <c r="H385" s="302"/>
    </row>
    <row r="386" spans="1:8" ht="15" hidden="1">
      <c r="A386" s="146"/>
      <c r="B386" s="165"/>
      <c r="C386" s="165"/>
      <c r="D386" s="165"/>
      <c r="E386" s="189"/>
      <c r="F386" s="189"/>
      <c r="G386" s="189"/>
      <c r="H386" s="302"/>
    </row>
    <row r="387" spans="1:8" ht="15" hidden="1">
      <c r="A387" s="146"/>
      <c r="B387" s="165"/>
      <c r="C387" s="165"/>
      <c r="D387" s="165"/>
      <c r="E387" s="189"/>
      <c r="F387" s="189"/>
      <c r="G387" s="189"/>
      <c r="H387" s="302"/>
    </row>
    <row r="388" spans="1:8" ht="15" customHeight="1">
      <c r="A388" s="146"/>
      <c r="B388" s="165"/>
      <c r="C388" s="165"/>
      <c r="D388" s="165"/>
      <c r="E388" s="189"/>
      <c r="F388" s="189"/>
      <c r="G388" s="189"/>
      <c r="H388" s="302"/>
    </row>
    <row r="389" spans="1:8" ht="15" customHeight="1" thickBot="1">
      <c r="A389" s="146"/>
      <c r="B389" s="146"/>
      <c r="C389" s="146"/>
      <c r="D389" s="146"/>
      <c r="E389" s="147"/>
      <c r="F389" s="147"/>
      <c r="G389" s="147"/>
      <c r="H389" s="294"/>
    </row>
    <row r="390" spans="1:8" ht="15.75">
      <c r="A390" s="311" t="s">
        <v>76</v>
      </c>
      <c r="B390" s="311" t="s">
        <v>77</v>
      </c>
      <c r="C390" s="311" t="s">
        <v>78</v>
      </c>
      <c r="D390" s="312" t="s">
        <v>79</v>
      </c>
      <c r="E390" s="313" t="s">
        <v>26</v>
      </c>
      <c r="F390" s="313" t="s">
        <v>26</v>
      </c>
      <c r="G390" s="313" t="s">
        <v>8</v>
      </c>
      <c r="H390" s="318" t="s">
        <v>80</v>
      </c>
    </row>
    <row r="391" spans="1:8" ht="15.75" customHeight="1" thickBot="1">
      <c r="A391" s="314"/>
      <c r="B391" s="314"/>
      <c r="C391" s="314"/>
      <c r="D391" s="315"/>
      <c r="E391" s="316" t="s">
        <v>28</v>
      </c>
      <c r="F391" s="316" t="s">
        <v>29</v>
      </c>
      <c r="G391" s="317" t="s">
        <v>30</v>
      </c>
      <c r="H391" s="319" t="s">
        <v>31</v>
      </c>
    </row>
    <row r="392" spans="1:8" s="146" customFormat="1" ht="30.75" customHeight="1" thickBot="1" thickTop="1">
      <c r="A392" s="177"/>
      <c r="B392" s="193"/>
      <c r="C392" s="194"/>
      <c r="D392" s="195" t="s">
        <v>336</v>
      </c>
      <c r="E392" s="196">
        <f>SUM(E60,E116,E159,E187,E214,E241,E260,E280,E317,E367,E381)</f>
        <v>434937.1</v>
      </c>
      <c r="F392" s="196">
        <f>SUM(F60,F116,F159,F187,F214,F241,F260,F280,F317,F367,F381)</f>
        <v>421585.6</v>
      </c>
      <c r="G392" s="196">
        <f>SUM(G60,G116,G159,G187,G214,G241,G260,G280,G317,G367,G381)</f>
        <v>461216.1</v>
      </c>
      <c r="H392" s="304">
        <f>(G392/F392)*100</f>
        <v>109.40034479356031</v>
      </c>
    </row>
    <row r="393" spans="1:8" ht="15" customHeight="1">
      <c r="A393" s="128"/>
      <c r="B393" s="197"/>
      <c r="C393" s="198"/>
      <c r="D393" s="199"/>
      <c r="E393" s="200"/>
      <c r="F393" s="200"/>
      <c r="G393" s="200"/>
      <c r="H393" s="305"/>
    </row>
    <row r="394" spans="1:8" ht="15" customHeight="1" hidden="1">
      <c r="A394" s="128"/>
      <c r="B394" s="197"/>
      <c r="C394" s="198"/>
      <c r="D394" s="199"/>
      <c r="E394" s="200"/>
      <c r="F394" s="200"/>
      <c r="G394" s="200"/>
      <c r="H394" s="305"/>
    </row>
    <row r="395" spans="1:8" ht="12.75" customHeight="1" hidden="1">
      <c r="A395" s="128"/>
      <c r="B395" s="197"/>
      <c r="C395" s="198"/>
      <c r="D395" s="199"/>
      <c r="E395" s="200"/>
      <c r="F395" s="200"/>
      <c r="G395" s="200"/>
      <c r="H395" s="305"/>
    </row>
    <row r="396" spans="1:8" ht="12.75" customHeight="1" hidden="1">
      <c r="A396" s="128"/>
      <c r="B396" s="197"/>
      <c r="C396" s="198"/>
      <c r="D396" s="199"/>
      <c r="E396" s="200"/>
      <c r="F396" s="200"/>
      <c r="G396" s="200"/>
      <c r="H396" s="305"/>
    </row>
    <row r="397" spans="1:8" ht="12.75" customHeight="1" hidden="1">
      <c r="A397" s="128"/>
      <c r="B397" s="197"/>
      <c r="C397" s="198"/>
      <c r="D397" s="199"/>
      <c r="E397" s="200"/>
      <c r="F397" s="200"/>
      <c r="G397" s="200"/>
      <c r="H397" s="305"/>
    </row>
    <row r="398" spans="1:8" ht="12.75" customHeight="1" hidden="1">
      <c r="A398" s="128"/>
      <c r="B398" s="197"/>
      <c r="C398" s="198"/>
      <c r="D398" s="199"/>
      <c r="E398" s="200"/>
      <c r="F398" s="200"/>
      <c r="G398" s="200"/>
      <c r="H398" s="305"/>
    </row>
    <row r="399" spans="1:8" ht="12.75" customHeight="1" hidden="1">
      <c r="A399" s="128"/>
      <c r="B399" s="197"/>
      <c r="C399" s="198"/>
      <c r="D399" s="199"/>
      <c r="E399" s="200"/>
      <c r="F399" s="200"/>
      <c r="G399" s="200"/>
      <c r="H399" s="305"/>
    </row>
    <row r="400" spans="1:8" ht="12.75" customHeight="1" hidden="1">
      <c r="A400" s="128"/>
      <c r="B400" s="197"/>
      <c r="C400" s="198"/>
      <c r="D400" s="199"/>
      <c r="E400" s="200"/>
      <c r="F400" s="200"/>
      <c r="G400" s="200"/>
      <c r="H400" s="305"/>
    </row>
    <row r="401" spans="1:8" ht="15" customHeight="1">
      <c r="A401" s="128"/>
      <c r="B401" s="197"/>
      <c r="C401" s="198"/>
      <c r="D401" s="199"/>
      <c r="E401" s="200"/>
      <c r="F401" s="200"/>
      <c r="G401" s="200"/>
      <c r="H401" s="305"/>
    </row>
    <row r="402" spans="1:8" ht="15" customHeight="1" thickBot="1">
      <c r="A402" s="128"/>
      <c r="B402" s="197"/>
      <c r="C402" s="198"/>
      <c r="D402" s="199"/>
      <c r="E402" s="201"/>
      <c r="F402" s="201"/>
      <c r="G402" s="201"/>
      <c r="H402" s="306"/>
    </row>
    <row r="403" spans="1:8" ht="15.75">
      <c r="A403" s="311" t="s">
        <v>76</v>
      </c>
      <c r="B403" s="311" t="s">
        <v>77</v>
      </c>
      <c r="C403" s="311" t="s">
        <v>78</v>
      </c>
      <c r="D403" s="312" t="s">
        <v>79</v>
      </c>
      <c r="E403" s="313" t="s">
        <v>26</v>
      </c>
      <c r="F403" s="313" t="s">
        <v>26</v>
      </c>
      <c r="G403" s="313" t="s">
        <v>8</v>
      </c>
      <c r="H403" s="318" t="s">
        <v>80</v>
      </c>
    </row>
    <row r="404" spans="1:8" ht="15.75" customHeight="1" thickBot="1">
      <c r="A404" s="314"/>
      <c r="B404" s="314"/>
      <c r="C404" s="314"/>
      <c r="D404" s="315"/>
      <c r="E404" s="316" t="s">
        <v>28</v>
      </c>
      <c r="F404" s="316" t="s">
        <v>29</v>
      </c>
      <c r="G404" s="317" t="s">
        <v>30</v>
      </c>
      <c r="H404" s="319" t="s">
        <v>31</v>
      </c>
    </row>
    <row r="405" spans="1:8" ht="16.5" customHeight="1" thickTop="1">
      <c r="A405" s="184">
        <v>110</v>
      </c>
      <c r="B405" s="184"/>
      <c r="C405" s="184"/>
      <c r="D405" s="202" t="s">
        <v>337</v>
      </c>
      <c r="E405" s="203"/>
      <c r="F405" s="203"/>
      <c r="G405" s="203"/>
      <c r="H405" s="307"/>
    </row>
    <row r="406" spans="1:8" ht="14.25" customHeight="1">
      <c r="A406" s="204"/>
      <c r="B406" s="204"/>
      <c r="C406" s="204"/>
      <c r="D406" s="128"/>
      <c r="E406" s="203"/>
      <c r="F406" s="203"/>
      <c r="G406" s="203"/>
      <c r="H406" s="307"/>
    </row>
    <row r="407" spans="1:8" ht="15" customHeight="1">
      <c r="A407" s="135"/>
      <c r="B407" s="135"/>
      <c r="C407" s="135">
        <v>8115</v>
      </c>
      <c r="D407" s="156" t="s">
        <v>338</v>
      </c>
      <c r="E407" s="205">
        <v>75633.4</v>
      </c>
      <c r="F407" s="320">
        <v>128640</v>
      </c>
      <c r="G407" s="320">
        <v>-12</v>
      </c>
      <c r="H407" s="291">
        <f>(G407/F407)*100</f>
        <v>-0.009328358208955225</v>
      </c>
    </row>
    <row r="408" spans="1:8" ht="15" hidden="1">
      <c r="A408" s="135"/>
      <c r="B408" s="135"/>
      <c r="C408" s="135">
        <v>8123</v>
      </c>
      <c r="D408" s="206" t="s">
        <v>339</v>
      </c>
      <c r="E408" s="139">
        <v>0</v>
      </c>
      <c r="F408" s="139"/>
      <c r="G408" s="139"/>
      <c r="H408" s="291" t="e">
        <f>(G408/F408)*100</f>
        <v>#DIV/0!</v>
      </c>
    </row>
    <row r="409" spans="1:8" ht="14.25" customHeight="1">
      <c r="A409" s="135"/>
      <c r="B409" s="135"/>
      <c r="C409" s="135">
        <v>8124</v>
      </c>
      <c r="D409" s="156" t="s">
        <v>340</v>
      </c>
      <c r="E409" s="136">
        <v>-18032</v>
      </c>
      <c r="F409" s="136">
        <v>-18032</v>
      </c>
      <c r="G409" s="136">
        <v>-18036.1</v>
      </c>
      <c r="H409" s="291">
        <f>(G409/F409)*100</f>
        <v>100.02273735581188</v>
      </c>
    </row>
    <row r="410" spans="1:8" ht="15" customHeight="1" hidden="1">
      <c r="A410" s="141"/>
      <c r="B410" s="141"/>
      <c r="C410" s="141">
        <v>8902</v>
      </c>
      <c r="D410" s="207" t="s">
        <v>341</v>
      </c>
      <c r="E410" s="142"/>
      <c r="F410" s="142"/>
      <c r="G410" s="142"/>
      <c r="H410" s="308" t="e">
        <f>(G410/F410)*100</f>
        <v>#DIV/0!</v>
      </c>
    </row>
    <row r="411" spans="1:8" ht="14.25" customHeight="1" hidden="1">
      <c r="A411" s="135"/>
      <c r="B411" s="135"/>
      <c r="C411" s="135">
        <v>8905</v>
      </c>
      <c r="D411" s="156" t="s">
        <v>342</v>
      </c>
      <c r="E411" s="136"/>
      <c r="F411" s="136"/>
      <c r="G411" s="136"/>
      <c r="H411" s="291" t="e">
        <f>(G411/F411)*100</f>
        <v>#DIV/0!</v>
      </c>
    </row>
    <row r="412" spans="1:8" ht="15" customHeight="1" thickBot="1">
      <c r="A412" s="173"/>
      <c r="B412" s="173"/>
      <c r="C412" s="173"/>
      <c r="D412" s="172"/>
      <c r="E412" s="174"/>
      <c r="F412" s="174"/>
      <c r="G412" s="174"/>
      <c r="H412" s="299"/>
    </row>
    <row r="413" spans="1:8" s="146" customFormat="1" ht="22.5" customHeight="1" thickBot="1" thickTop="1">
      <c r="A413" s="176"/>
      <c r="B413" s="176"/>
      <c r="C413" s="176"/>
      <c r="D413" s="208" t="s">
        <v>343</v>
      </c>
      <c r="E413" s="178">
        <f>SUM(E407:E411)</f>
        <v>57601.399999999994</v>
      </c>
      <c r="F413" s="178">
        <f>SUM(F407:F411)</f>
        <v>110608</v>
      </c>
      <c r="G413" s="178">
        <f>SUM(G407:G411)</f>
        <v>-18048.1</v>
      </c>
      <c r="H413" s="300">
        <f>(G413/F413)*100</f>
        <v>-16.317174164617388</v>
      </c>
    </row>
    <row r="414" spans="1:8" s="146" customFormat="1" ht="22.5" customHeight="1">
      <c r="A414" s="165"/>
      <c r="B414" s="165"/>
      <c r="C414" s="165"/>
      <c r="D414" s="128"/>
      <c r="E414" s="166"/>
      <c r="F414" s="166"/>
      <c r="G414" s="166"/>
      <c r="H414" s="297"/>
    </row>
    <row r="415" spans="1:8" ht="15" customHeight="1">
      <c r="A415" s="146" t="s">
        <v>344</v>
      </c>
      <c r="B415" s="146"/>
      <c r="C415" s="146"/>
      <c r="D415" s="128"/>
      <c r="E415" s="166"/>
      <c r="F415" s="166"/>
      <c r="G415" s="166"/>
      <c r="H415" s="297"/>
    </row>
    <row r="416" spans="1:8" ht="15" hidden="1">
      <c r="A416" s="165"/>
      <c r="B416" s="146"/>
      <c r="C416" s="165"/>
      <c r="D416" s="146"/>
      <c r="E416" s="147"/>
      <c r="F416" s="147"/>
      <c r="G416" s="147"/>
      <c r="H416" s="294"/>
    </row>
    <row r="417" spans="1:8" ht="15" hidden="1">
      <c r="A417" s="165"/>
      <c r="B417" s="165"/>
      <c r="C417" s="165"/>
      <c r="D417" s="146"/>
      <c r="E417" s="147"/>
      <c r="F417" s="147"/>
      <c r="G417" s="147"/>
      <c r="H417" s="294"/>
    </row>
    <row r="418" spans="1:8" ht="15" hidden="1">
      <c r="A418" s="209"/>
      <c r="B418" s="209"/>
      <c r="C418" s="209"/>
      <c r="D418" s="210" t="s">
        <v>345</v>
      </c>
      <c r="E418" s="211" t="e">
        <f>SUM(E14,#REF!,#REF!,E250,E274,E306,#REF!)</f>
        <v>#REF!</v>
      </c>
      <c r="F418" s="211"/>
      <c r="G418" s="211"/>
      <c r="H418" s="309"/>
    </row>
    <row r="419" spans="1:8" ht="15" hidden="1">
      <c r="A419" s="209"/>
      <c r="B419" s="209"/>
      <c r="C419" s="209"/>
      <c r="D419" s="212" t="s">
        <v>346</v>
      </c>
      <c r="E419" s="213">
        <f>E392+E413</f>
        <v>492538.5</v>
      </c>
      <c r="F419" s="213">
        <f>F392+F413</f>
        <v>532193.6</v>
      </c>
      <c r="G419" s="213">
        <f>G392+G413</f>
        <v>443168</v>
      </c>
      <c r="H419" s="291">
        <f>(G419/F419)*100</f>
        <v>83.2719521617697</v>
      </c>
    </row>
    <row r="420" spans="1:8" ht="15" hidden="1">
      <c r="A420" s="209"/>
      <c r="B420" s="209"/>
      <c r="C420" s="209"/>
      <c r="D420" s="212" t="s">
        <v>347</v>
      </c>
      <c r="E420" s="213"/>
      <c r="F420" s="213"/>
      <c r="G420" s="213"/>
      <c r="H420" s="213"/>
    </row>
    <row r="421" spans="1:8" ht="15" hidden="1">
      <c r="A421" s="209"/>
      <c r="B421" s="209"/>
      <c r="C421" s="209"/>
      <c r="D421" s="209" t="s">
        <v>49</v>
      </c>
      <c r="E421" s="214">
        <f>SUM(E277,E332,E339,E355,E358)</f>
        <v>12871</v>
      </c>
      <c r="F421" s="214"/>
      <c r="G421" s="214"/>
      <c r="H421" s="214"/>
    </row>
    <row r="422" spans="1:8" ht="15" hidden="1">
      <c r="A422" s="210"/>
      <c r="B422" s="210"/>
      <c r="C422" s="210"/>
      <c r="D422" s="210" t="s">
        <v>32</v>
      </c>
      <c r="E422" s="211"/>
      <c r="F422" s="211"/>
      <c r="G422" s="211"/>
      <c r="H422" s="211"/>
    </row>
    <row r="423" spans="1:8" ht="15" hidden="1">
      <c r="A423" s="210"/>
      <c r="B423" s="210"/>
      <c r="C423" s="210"/>
      <c r="D423" s="210" t="s">
        <v>49</v>
      </c>
      <c r="E423" s="211"/>
      <c r="F423" s="211"/>
      <c r="G423" s="211"/>
      <c r="H423" s="211"/>
    </row>
    <row r="424" spans="1:8" ht="15" hidden="1">
      <c r="A424" s="210"/>
      <c r="B424" s="210"/>
      <c r="C424" s="210"/>
      <c r="D424" s="210"/>
      <c r="E424" s="211"/>
      <c r="F424" s="211"/>
      <c r="G424" s="211"/>
      <c r="H424" s="211"/>
    </row>
    <row r="425" spans="1:8" ht="15" hidden="1">
      <c r="A425" s="210"/>
      <c r="B425" s="210"/>
      <c r="C425" s="210"/>
      <c r="D425" s="210" t="s">
        <v>348</v>
      </c>
      <c r="E425" s="211"/>
      <c r="F425" s="211"/>
      <c r="G425" s="211"/>
      <c r="H425" s="211"/>
    </row>
    <row r="426" spans="1:8" ht="15" hidden="1">
      <c r="A426" s="210"/>
      <c r="B426" s="210"/>
      <c r="C426" s="210"/>
      <c r="D426" s="210" t="s">
        <v>349</v>
      </c>
      <c r="E426" s="211"/>
      <c r="F426" s="211"/>
      <c r="G426" s="211"/>
      <c r="H426" s="211"/>
    </row>
    <row r="427" spans="1:8" ht="15" hidden="1">
      <c r="A427" s="210"/>
      <c r="B427" s="210"/>
      <c r="C427" s="210"/>
      <c r="D427" s="210" t="s">
        <v>350</v>
      </c>
      <c r="E427" s="211" t="e">
        <f>SUM(E9,E10,#REF!,#REF!,#REF!,E168,E198,E199,E200,E201,E202,#REF!,E225,E227,E275,E289,E290,E291,E292,E293,E294,#REF!,#REF!,E300,E302,E303,E304)</f>
        <v>#REF!</v>
      </c>
      <c r="F427" s="211"/>
      <c r="G427" s="211"/>
      <c r="H427" s="211"/>
    </row>
    <row r="428" spans="1:8" ht="15.75" hidden="1">
      <c r="A428" s="210"/>
      <c r="B428" s="210"/>
      <c r="C428" s="210"/>
      <c r="D428" s="215" t="s">
        <v>351</v>
      </c>
      <c r="E428" s="216">
        <v>0</v>
      </c>
      <c r="F428" s="216"/>
      <c r="G428" s="216"/>
      <c r="H428" s="216"/>
    </row>
    <row r="429" spans="1:8" ht="15" hidden="1">
      <c r="A429" s="210"/>
      <c r="B429" s="210"/>
      <c r="C429" s="210"/>
      <c r="D429" s="210"/>
      <c r="E429" s="211"/>
      <c r="F429" s="211"/>
      <c r="G429" s="211"/>
      <c r="H429" s="211"/>
    </row>
    <row r="430" spans="1:8" ht="15" hidden="1">
      <c r="A430" s="210"/>
      <c r="B430" s="210"/>
      <c r="C430" s="210"/>
      <c r="D430" s="210"/>
      <c r="E430" s="211"/>
      <c r="F430" s="211"/>
      <c r="G430" s="211"/>
      <c r="H430" s="211"/>
    </row>
    <row r="431" spans="1:8" ht="15" hidden="1">
      <c r="A431" s="210"/>
      <c r="B431" s="210"/>
      <c r="C431" s="210"/>
      <c r="D431" s="210"/>
      <c r="E431" s="211"/>
      <c r="F431" s="211"/>
      <c r="G431" s="211"/>
      <c r="H431" s="211"/>
    </row>
    <row r="432" spans="1:8" ht="15" hidden="1">
      <c r="A432" s="210"/>
      <c r="B432" s="210"/>
      <c r="C432" s="210"/>
      <c r="D432" s="210"/>
      <c r="E432" s="211"/>
      <c r="F432" s="211"/>
      <c r="G432" s="211"/>
      <c r="H432" s="211"/>
    </row>
    <row r="433" spans="1:8" ht="15.75" hidden="1">
      <c r="A433" s="210"/>
      <c r="B433" s="210"/>
      <c r="C433" s="210"/>
      <c r="D433" s="210" t="s">
        <v>32</v>
      </c>
      <c r="E433" s="216" t="e">
        <f>SUM(E9,E10,#REF!,#REF!,#REF!,E124,E168,E198,E199,E200,E201,E202,#REF!,E225,E226,E227,E274,E289,E290,E291,E292,E293,E294,#REF!,#REF!,E300,E302,E303,E304)</f>
        <v>#REF!</v>
      </c>
      <c r="F433" s="216" t="e">
        <f>SUM(F9,F10,#REF!,#REF!,#REF!,F124,F168,F198,F199,F200,F201,F202,#REF!,F225,F226,F227,F274,F289,F290,F291,F292,F293,F294,#REF!,#REF!,F300,F302,F303,F304)</f>
        <v>#REF!</v>
      </c>
      <c r="G433" s="216" t="e">
        <f>SUM(G9,G10,#REF!,#REF!,#REF!,G124,G168,G198,G199,G200,G201,G202,#REF!,G225,G226,G227,G274,G289,G290,G291,G292,G293,G294,#REF!,#REF!,G300,G302,G303,G304)</f>
        <v>#REF!</v>
      </c>
      <c r="H433" s="216" t="e">
        <f>SUM(H9,H10,#REF!,#REF!,#REF!,H124,H168,H198,H199,H200,H201,H202,#REF!,H225,H226,H227,H274,H289,H290,H291,H292,H293,H294,#REF!,#REF!,H300,H302,H303,H304)</f>
        <v>#REF!</v>
      </c>
    </row>
    <row r="434" spans="1:8" ht="15" hidden="1">
      <c r="A434" s="210"/>
      <c r="B434" s="210"/>
      <c r="C434" s="210"/>
      <c r="D434" s="210" t="s">
        <v>352</v>
      </c>
      <c r="E434" s="211">
        <f>SUM(E289,E290,E291,E292,E294)</f>
        <v>205700</v>
      </c>
      <c r="F434" s="211">
        <f>SUM(F289,F290,F291,F292,F294)</f>
        <v>205700</v>
      </c>
      <c r="G434" s="211">
        <f>SUM(G289,G290,G291,G292,G294)</f>
        <v>227895.3</v>
      </c>
      <c r="H434" s="211">
        <f>SUM(H289,H290,H291,H292,H294)</f>
        <v>529.6048775900431</v>
      </c>
    </row>
    <row r="435" spans="1:8" ht="15" hidden="1">
      <c r="A435" s="210"/>
      <c r="B435" s="210"/>
      <c r="C435" s="210"/>
      <c r="D435" s="210" t="s">
        <v>353</v>
      </c>
      <c r="E435" s="211" t="e">
        <f>SUM(E9,#REF!,#REF!,#REF!,#REF!,#REF!,E300)</f>
        <v>#REF!</v>
      </c>
      <c r="F435" s="211" t="e">
        <f>SUM(F9,#REF!,#REF!,#REF!,#REF!,#REF!,F300)</f>
        <v>#REF!</v>
      </c>
      <c r="G435" s="211" t="e">
        <f>SUM(G9,#REF!,#REF!,#REF!,#REF!,#REF!,G300)</f>
        <v>#REF!</v>
      </c>
      <c r="H435" s="211" t="e">
        <f>SUM(H9,#REF!,#REF!,#REF!,#REF!,#REF!,H300)</f>
        <v>#REF!</v>
      </c>
    </row>
    <row r="436" spans="1:8" ht="15" hidden="1">
      <c r="A436" s="210"/>
      <c r="B436" s="210"/>
      <c r="C436" s="210"/>
      <c r="D436" s="210" t="s">
        <v>354</v>
      </c>
      <c r="E436" s="211">
        <f>SUM(E10,E202,E227,E274,E303,E326)</f>
        <v>8945</v>
      </c>
      <c r="F436" s="211">
        <f>SUM(F10,F202,F227,F274,F303,F326)</f>
        <v>8945</v>
      </c>
      <c r="G436" s="211">
        <f>SUM(G10,G202,G227,G274,G303,G326)</f>
        <v>10117.100000000002</v>
      </c>
      <c r="H436" s="211" t="e">
        <f>SUM(H10,H202,H227,H274,H303,H326)</f>
        <v>#DIV/0!</v>
      </c>
    </row>
    <row r="437" spans="1:8" ht="15" hidden="1">
      <c r="A437" s="210"/>
      <c r="B437" s="210"/>
      <c r="C437" s="210"/>
      <c r="D437" s="210" t="s">
        <v>355</v>
      </c>
      <c r="E437" s="211"/>
      <c r="F437" s="211"/>
      <c r="G437" s="211"/>
      <c r="H437" s="211"/>
    </row>
    <row r="438" spans="1:8" ht="15" hidden="1">
      <c r="A438" s="210"/>
      <c r="B438" s="210"/>
      <c r="C438" s="210"/>
      <c r="D438" s="210" t="s">
        <v>44</v>
      </c>
      <c r="E438" s="211" t="e">
        <f>+E392-E433-E441-E442</f>
        <v>#REF!</v>
      </c>
      <c r="F438" s="211" t="e">
        <f>+F392-F433-F441-F442</f>
        <v>#REF!</v>
      </c>
      <c r="G438" s="211" t="e">
        <f>+G392-G433-G441-G442</f>
        <v>#REF!</v>
      </c>
      <c r="H438" s="211" t="e">
        <f>+H392-H433-H441-H442</f>
        <v>#REF!</v>
      </c>
    </row>
    <row r="439" spans="1:8" ht="15" hidden="1">
      <c r="A439" s="210"/>
      <c r="B439" s="210"/>
      <c r="C439" s="210"/>
      <c r="D439" s="210" t="s">
        <v>356</v>
      </c>
      <c r="E439" s="211">
        <f>SUM(E28,E29,E40,E47,E48,E147,E207,E328,E334,E340,E342,E343,E346,E349,E350,E362)</f>
        <v>20670</v>
      </c>
      <c r="F439" s="211">
        <f>SUM(F28,F29,F40,F47,F48,F147,F207,F328,F334,F340,F342,F343,F346,F349,F350,F362)</f>
        <v>20547</v>
      </c>
      <c r="G439" s="211">
        <f>SUM(G28,G29,G40,G47,G48,G147,G207,G328,G334,G340,G342,G343,G346,G349,G350,G362)</f>
        <v>21426.3</v>
      </c>
      <c r="H439" s="211">
        <f>SUM(H28,H29,H40,H47,H48,H147,H207,H328,H334,H340,H342,H343,H346,H349,H350,H362)</f>
        <v>1585.8292076852622</v>
      </c>
    </row>
    <row r="440" spans="1:8" ht="15" hidden="1">
      <c r="A440" s="210"/>
      <c r="B440" s="210"/>
      <c r="C440" s="210"/>
      <c r="D440" s="210" t="s">
        <v>357</v>
      </c>
      <c r="E440" s="211">
        <f>SUM(E22,E36,E103,E182,E210,E232,E234,E252,E276,E351)</f>
        <v>2560</v>
      </c>
      <c r="F440" s="211">
        <f>SUM(F22,F36,F103,F182,F210,F232,F234,F252,F276,F351)</f>
        <v>4751</v>
      </c>
      <c r="G440" s="211">
        <f>SUM(G22,G36,G103,G182,G210,G232,G234,G252,G276,G351)</f>
        <v>7172.2</v>
      </c>
      <c r="H440" s="211" t="e">
        <f>SUM(H22,H36,H103,H182,H210,H232,H234,H252,H276,H351)</f>
        <v>#DIV/0!</v>
      </c>
    </row>
    <row r="441" spans="1:8" ht="15" hidden="1">
      <c r="A441" s="210"/>
      <c r="B441" s="210"/>
      <c r="C441" s="210"/>
      <c r="D441" s="210" t="s">
        <v>49</v>
      </c>
      <c r="E441" s="211" t="e">
        <f>SUM(#REF!,E277,E332,E339,E355,E358)</f>
        <v>#REF!</v>
      </c>
      <c r="F441" s="211" t="e">
        <f>SUM(#REF!,F277,F332,F339,F355,F358)</f>
        <v>#REF!</v>
      </c>
      <c r="G441" s="211" t="e">
        <f>SUM(#REF!,G277,G332,G339,G355,G358)</f>
        <v>#REF!</v>
      </c>
      <c r="H441" s="211" t="e">
        <f>SUM(#REF!,H277,H332,H339,H355,H358)</f>
        <v>#REF!</v>
      </c>
    </row>
    <row r="442" spans="1:8" ht="15" hidden="1">
      <c r="A442" s="210"/>
      <c r="B442" s="210"/>
      <c r="C442" s="210"/>
      <c r="D442" s="210" t="s">
        <v>348</v>
      </c>
      <c r="E442" s="211" t="e">
        <f>SUM(E11,E14,E18,E85,#REF!,#REF!,#REF!,#REF!,E113,#REF!,#REF!,#REF!,#REF!,#REF!,#REF!,#REF!,E131,#REF!,E132,#REF!,E133,E135,#REF!,#REF!,#REF!,E204,E250,E275,E306)</f>
        <v>#REF!</v>
      </c>
      <c r="F442" s="211" t="e">
        <f>SUM(F11,F14,F18,F85,#REF!,#REF!,#REF!,#REF!,F113,#REF!,#REF!,#REF!,#REF!,#REF!,#REF!,#REF!,F131,#REF!,F132,#REF!,F133,F135,#REF!,#REF!,#REF!,F204,F250,F275,F306)</f>
        <v>#REF!</v>
      </c>
      <c r="G442" s="211" t="e">
        <f>SUM(G11,G14,G18,G85,#REF!,#REF!,#REF!,#REF!,G113,#REF!,#REF!,#REF!,#REF!,#REF!,#REF!,#REF!,G131,#REF!,G132,#REF!,G133,G135,#REF!,#REF!,#REF!,G204,G250,G275,G306)</f>
        <v>#REF!</v>
      </c>
      <c r="H442" s="211" t="e">
        <f>SUM(H11,H14,H18,H85,#REF!,#REF!,#REF!,#REF!,H113,#REF!,#REF!,#REF!,#REF!,#REF!,#REF!,#REF!,H131,#REF!,H132,#REF!,H133,H135,#REF!,#REF!,#REF!,H204,H250,H275,H306)</f>
        <v>#REF!</v>
      </c>
    </row>
    <row r="443" spans="1:8" ht="15" hidden="1">
      <c r="A443" s="210"/>
      <c r="B443" s="210"/>
      <c r="C443" s="210"/>
      <c r="D443" s="210"/>
      <c r="E443" s="211"/>
      <c r="F443" s="211"/>
      <c r="G443" s="211"/>
      <c r="H443" s="211"/>
    </row>
    <row r="444" spans="1:8" ht="15" hidden="1">
      <c r="A444" s="210"/>
      <c r="B444" s="210"/>
      <c r="C444" s="210"/>
      <c r="D444" s="210"/>
      <c r="E444" s="211"/>
      <c r="F444" s="211"/>
      <c r="G444" s="211"/>
      <c r="H444" s="211"/>
    </row>
    <row r="445" spans="1:8" ht="15" hidden="1">
      <c r="A445" s="210"/>
      <c r="B445" s="210"/>
      <c r="C445" s="210"/>
      <c r="D445" s="210"/>
      <c r="E445" s="211">
        <f>SUM(E329,E332,E339,E355,E358)</f>
        <v>12871</v>
      </c>
      <c r="F445" s="211">
        <f>SUM(F329,F332,F339,F355,F358)</f>
        <v>12871</v>
      </c>
      <c r="G445" s="211">
        <f>SUM(G329,G332,G339,G355,G358)</f>
        <v>11678.599999999999</v>
      </c>
      <c r="H445" s="211" t="e">
        <f>SUM(H329,H332,H339,H355,H358)</f>
        <v>#DIV/0!</v>
      </c>
    </row>
    <row r="446" spans="1:8" ht="15" hidden="1">
      <c r="A446" s="210"/>
      <c r="B446" s="210"/>
      <c r="C446" s="210"/>
      <c r="D446" s="210"/>
      <c r="E446" s="211" t="e">
        <f>SUM(#REF!,#REF!,E113,#REF!,#REF!,#REF!,#REF!,#REF!,#REF!,E275)</f>
        <v>#REF!</v>
      </c>
      <c r="F446" s="211" t="e">
        <f>SUM(#REF!,#REF!,F113,#REF!,#REF!,#REF!,#REF!,#REF!,#REF!,F275)</f>
        <v>#REF!</v>
      </c>
      <c r="G446" s="211" t="e">
        <f>SUM(#REF!,#REF!,G113,#REF!,#REF!,#REF!,#REF!,#REF!,#REF!,G275)</f>
        <v>#REF!</v>
      </c>
      <c r="H446" s="211" t="e">
        <f>SUM(#REF!,#REF!,H113,#REF!,#REF!,#REF!,#REF!,#REF!,#REF!,H275)</f>
        <v>#REF!</v>
      </c>
    </row>
    <row r="447" spans="1:8" ht="15" hidden="1">
      <c r="A447" s="210"/>
      <c r="B447" s="210"/>
      <c r="C447" s="210"/>
      <c r="D447" s="210"/>
      <c r="E447" s="211"/>
      <c r="F447" s="211"/>
      <c r="G447" s="211"/>
      <c r="H447" s="211"/>
    </row>
    <row r="448" spans="1:8" ht="15" hidden="1">
      <c r="A448" s="210"/>
      <c r="B448" s="210"/>
      <c r="C448" s="210"/>
      <c r="D448" s="210"/>
      <c r="E448" s="211" t="e">
        <f>SUM(E445:E447)</f>
        <v>#REF!</v>
      </c>
      <c r="F448" s="211" t="e">
        <f>SUM(F445:F447)</f>
        <v>#REF!</v>
      </c>
      <c r="G448" s="211" t="e">
        <f>SUM(G445:G447)</f>
        <v>#REF!</v>
      </c>
      <c r="H448" s="211" t="e">
        <f>SUM(H445:H447)</f>
        <v>#DIV/0!</v>
      </c>
    </row>
    <row r="449" spans="1:8" ht="15">
      <c r="A449" s="210"/>
      <c r="B449" s="210"/>
      <c r="C449" s="210"/>
      <c r="D449" s="210"/>
      <c r="E449" s="211"/>
      <c r="F449" s="211"/>
      <c r="G449" s="211"/>
      <c r="H449" s="211"/>
    </row>
    <row r="450" spans="1:8" ht="15">
      <c r="A450" s="210"/>
      <c r="B450" s="210"/>
      <c r="C450" s="210"/>
      <c r="D450" s="210"/>
      <c r="E450" s="211"/>
      <c r="F450" s="211"/>
      <c r="G450" s="211"/>
      <c r="H450" s="211"/>
    </row>
    <row r="451" spans="1:8" ht="15">
      <c r="A451" s="210"/>
      <c r="B451" s="210"/>
      <c r="C451" s="210"/>
      <c r="D451" s="210"/>
      <c r="E451" s="211"/>
      <c r="F451" s="211"/>
      <c r="G451" s="211"/>
      <c r="H451" s="211"/>
    </row>
    <row r="452" spans="1:8" ht="15">
      <c r="A452" s="210"/>
      <c r="B452" s="210"/>
      <c r="C452" s="210"/>
      <c r="D452" s="210"/>
      <c r="E452" s="211"/>
      <c r="F452" s="211"/>
      <c r="G452" s="211"/>
      <c r="H452" s="211"/>
    </row>
    <row r="453" spans="1:8" ht="15">
      <c r="A453" s="210"/>
      <c r="B453" s="210"/>
      <c r="C453" s="210"/>
      <c r="D453" s="210"/>
      <c r="E453" s="211"/>
      <c r="F453" s="211"/>
      <c r="G453" s="211"/>
      <c r="H453" s="211"/>
    </row>
    <row r="454" spans="1:8" ht="15">
      <c r="A454" s="210"/>
      <c r="B454" s="210"/>
      <c r="C454" s="210"/>
      <c r="D454" s="210"/>
      <c r="E454" s="211"/>
      <c r="F454" s="211"/>
      <c r="G454" s="211"/>
      <c r="H454" s="211"/>
    </row>
    <row r="455" spans="1:8" ht="15">
      <c r="A455" s="210"/>
      <c r="B455" s="210"/>
      <c r="C455" s="210"/>
      <c r="D455" s="210"/>
      <c r="E455" s="211"/>
      <c r="F455" s="211"/>
      <c r="G455" s="211"/>
      <c r="H455" s="211"/>
    </row>
    <row r="456" spans="1:8" ht="15">
      <c r="A456" s="210"/>
      <c r="B456" s="210"/>
      <c r="C456" s="210"/>
      <c r="D456" s="210"/>
      <c r="E456" s="211"/>
      <c r="F456" s="211"/>
      <c r="G456" s="211"/>
      <c r="H456" s="211"/>
    </row>
    <row r="457" spans="1:8" ht="15">
      <c r="A457" s="210"/>
      <c r="B457" s="210"/>
      <c r="C457" s="210"/>
      <c r="D457" s="210"/>
      <c r="E457" s="211"/>
      <c r="F457" s="211"/>
      <c r="G457" s="211"/>
      <c r="H457" s="211"/>
    </row>
    <row r="458" spans="1:8" ht="15">
      <c r="A458" s="210"/>
      <c r="B458" s="210"/>
      <c r="C458" s="210"/>
      <c r="D458" s="210"/>
      <c r="E458" s="211"/>
      <c r="F458" s="211"/>
      <c r="G458" s="211"/>
      <c r="H458" s="211"/>
    </row>
    <row r="459" spans="1:8" ht="15">
      <c r="A459" s="210"/>
      <c r="B459" s="210"/>
      <c r="C459" s="210"/>
      <c r="D459" s="210"/>
      <c r="E459" s="211"/>
      <c r="F459" s="211"/>
      <c r="G459" s="211"/>
      <c r="H459" s="211"/>
    </row>
    <row r="460" spans="1:8" ht="15">
      <c r="A460" s="210"/>
      <c r="B460" s="210"/>
      <c r="C460" s="210"/>
      <c r="D460" s="210"/>
      <c r="E460" s="211"/>
      <c r="F460" s="211"/>
      <c r="G460" s="211"/>
      <c r="H460" s="211"/>
    </row>
    <row r="461" spans="1:8" ht="15">
      <c r="A461" s="210"/>
      <c r="B461" s="210"/>
      <c r="C461" s="210"/>
      <c r="D461" s="210"/>
      <c r="E461" s="211"/>
      <c r="F461" s="211"/>
      <c r="G461" s="211"/>
      <c r="H461" s="211"/>
    </row>
    <row r="462" spans="1:8" ht="15">
      <c r="A462" s="210"/>
      <c r="B462" s="210"/>
      <c r="C462" s="210"/>
      <c r="D462" s="210"/>
      <c r="E462" s="211"/>
      <c r="F462" s="211"/>
      <c r="G462" s="211"/>
      <c r="H462" s="211"/>
    </row>
    <row r="463" spans="1:8" ht="15">
      <c r="A463" s="210"/>
      <c r="B463" s="210"/>
      <c r="C463" s="210"/>
      <c r="D463" s="210"/>
      <c r="E463" s="211"/>
      <c r="F463" s="211"/>
      <c r="G463" s="211"/>
      <c r="H463" s="211"/>
    </row>
    <row r="464" spans="1:8" ht="15">
      <c r="A464" s="210"/>
      <c r="B464" s="210"/>
      <c r="C464" s="210"/>
      <c r="D464" s="210"/>
      <c r="E464" s="211"/>
      <c r="F464" s="211"/>
      <c r="G464" s="211"/>
      <c r="H464" s="211"/>
    </row>
    <row r="465" spans="1:8" ht="15">
      <c r="A465" s="210"/>
      <c r="B465" s="210"/>
      <c r="C465" s="210"/>
      <c r="D465" s="210"/>
      <c r="E465" s="211"/>
      <c r="F465" s="211"/>
      <c r="G465" s="211"/>
      <c r="H465" s="211"/>
    </row>
    <row r="466" spans="1:8" ht="15">
      <c r="A466" s="210"/>
      <c r="B466" s="210"/>
      <c r="C466" s="210"/>
      <c r="D466" s="210"/>
      <c r="E466" s="211"/>
      <c r="F466" s="211"/>
      <c r="G466" s="211"/>
      <c r="H466" s="211"/>
    </row>
    <row r="467" spans="1:8" ht="15">
      <c r="A467" s="210"/>
      <c r="B467" s="210"/>
      <c r="C467" s="210"/>
      <c r="D467" s="210"/>
      <c r="E467" s="211"/>
      <c r="F467" s="211"/>
      <c r="G467" s="211"/>
      <c r="H467" s="211"/>
    </row>
    <row r="468" spans="1:8" ht="15">
      <c r="A468" s="210"/>
      <c r="B468" s="210"/>
      <c r="C468" s="210"/>
      <c r="D468" s="210"/>
      <c r="E468" s="211"/>
      <c r="F468" s="211"/>
      <c r="G468" s="211"/>
      <c r="H468" s="211"/>
    </row>
    <row r="469" spans="1:8" ht="15">
      <c r="A469" s="210"/>
      <c r="B469" s="210"/>
      <c r="C469" s="210"/>
      <c r="D469" s="210"/>
      <c r="E469" s="211"/>
      <c r="F469" s="211"/>
      <c r="G469" s="211"/>
      <c r="H469" s="211"/>
    </row>
    <row r="470" spans="1:8" ht="15">
      <c r="A470" s="210"/>
      <c r="B470" s="210"/>
      <c r="C470" s="210"/>
      <c r="D470" s="210"/>
      <c r="E470" s="211"/>
      <c r="F470" s="211"/>
      <c r="G470" s="211"/>
      <c r="H470" s="211"/>
    </row>
    <row r="471" spans="1:8" ht="15">
      <c r="A471" s="210"/>
      <c r="B471" s="210"/>
      <c r="C471" s="210"/>
      <c r="D471" s="210"/>
      <c r="E471" s="211"/>
      <c r="F471" s="211"/>
      <c r="G471" s="211"/>
      <c r="H471" s="211"/>
    </row>
    <row r="472" spans="1:8" ht="15">
      <c r="A472" s="210"/>
      <c r="B472" s="210"/>
      <c r="C472" s="210"/>
      <c r="D472" s="210"/>
      <c r="E472" s="211"/>
      <c r="F472" s="211"/>
      <c r="G472" s="211"/>
      <c r="H472" s="211"/>
    </row>
    <row r="473" spans="1:8" ht="15">
      <c r="A473" s="210"/>
      <c r="B473" s="210"/>
      <c r="C473" s="210"/>
      <c r="D473" s="210"/>
      <c r="E473" s="211"/>
      <c r="F473" s="211"/>
      <c r="G473" s="211"/>
      <c r="H473" s="211"/>
    </row>
    <row r="474" spans="1:8" ht="15">
      <c r="A474" s="210"/>
      <c r="B474" s="210"/>
      <c r="C474" s="210"/>
      <c r="D474" s="210"/>
      <c r="E474" s="211"/>
      <c r="F474" s="211"/>
      <c r="G474" s="211"/>
      <c r="H474" s="211"/>
    </row>
    <row r="475" spans="1:8" ht="15">
      <c r="A475" s="210"/>
      <c r="B475" s="210"/>
      <c r="C475" s="210"/>
      <c r="D475" s="210"/>
      <c r="E475" s="211"/>
      <c r="F475" s="211"/>
      <c r="G475" s="211"/>
      <c r="H475" s="211"/>
    </row>
    <row r="476" spans="1:8" ht="15">
      <c r="A476" s="210"/>
      <c r="B476" s="210"/>
      <c r="C476" s="210"/>
      <c r="D476" s="210"/>
      <c r="E476" s="211"/>
      <c r="F476" s="211"/>
      <c r="G476" s="211"/>
      <c r="H476" s="211"/>
    </row>
    <row r="477" spans="1:8" ht="15">
      <c r="A477" s="210"/>
      <c r="B477" s="210"/>
      <c r="C477" s="210"/>
      <c r="D477" s="210"/>
      <c r="E477" s="211"/>
      <c r="F477" s="211"/>
      <c r="G477" s="211"/>
      <c r="H477" s="211"/>
    </row>
    <row r="478" spans="1:8" ht="15">
      <c r="A478" s="210"/>
      <c r="B478" s="210"/>
      <c r="C478" s="210"/>
      <c r="D478" s="210"/>
      <c r="E478" s="211"/>
      <c r="F478" s="211"/>
      <c r="G478" s="211"/>
      <c r="H478" s="211"/>
    </row>
    <row r="479" spans="1:8" ht="15">
      <c r="A479" s="210"/>
      <c r="B479" s="210"/>
      <c r="C479" s="210"/>
      <c r="D479" s="210"/>
      <c r="E479" s="211"/>
      <c r="F479" s="211"/>
      <c r="G479" s="211"/>
      <c r="H479" s="211"/>
    </row>
    <row r="480" spans="1:8" ht="15">
      <c r="A480" s="210"/>
      <c r="B480" s="210"/>
      <c r="C480" s="210"/>
      <c r="D480" s="210"/>
      <c r="E480" s="211"/>
      <c r="F480" s="211"/>
      <c r="G480" s="211"/>
      <c r="H480" s="211"/>
    </row>
    <row r="481" spans="1:8" ht="15">
      <c r="A481" s="210"/>
      <c r="B481" s="210"/>
      <c r="C481" s="210"/>
      <c r="D481" s="210"/>
      <c r="E481" s="211"/>
      <c r="F481" s="211"/>
      <c r="G481" s="211"/>
      <c r="H481" s="211"/>
    </row>
    <row r="482" spans="1:8" ht="15">
      <c r="A482" s="210"/>
      <c r="B482" s="210"/>
      <c r="C482" s="210"/>
      <c r="D482" s="210"/>
      <c r="E482" s="211"/>
      <c r="F482" s="211"/>
      <c r="G482" s="211"/>
      <c r="H482" s="211"/>
    </row>
    <row r="483" spans="1:8" ht="15">
      <c r="A483" s="210"/>
      <c r="B483" s="210"/>
      <c r="C483" s="210"/>
      <c r="D483" s="210"/>
      <c r="E483" s="211"/>
      <c r="F483" s="211"/>
      <c r="G483" s="211"/>
      <c r="H483" s="211"/>
    </row>
    <row r="484" spans="1:8" ht="15">
      <c r="A484" s="210"/>
      <c r="B484" s="210"/>
      <c r="C484" s="210"/>
      <c r="D484" s="210"/>
      <c r="E484" s="211"/>
      <c r="F484" s="211"/>
      <c r="G484" s="211"/>
      <c r="H484" s="211"/>
    </row>
  </sheetData>
  <sheetProtection/>
  <mergeCells count="2">
    <mergeCell ref="A1:C1"/>
    <mergeCell ref="A3:E3"/>
  </mergeCells>
  <printOptions/>
  <pageMargins left="0.27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346"/>
  <sheetViews>
    <sheetView zoomScale="80" zoomScaleNormal="80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13.7109375" style="220" customWidth="1"/>
    <col min="2" max="2" width="12.7109375" style="220" customWidth="1"/>
    <col min="3" max="3" width="79.7109375" style="220" customWidth="1"/>
    <col min="4" max="4" width="15.7109375" style="220" customWidth="1"/>
    <col min="5" max="5" width="14.57421875" style="220" customWidth="1"/>
    <col min="6" max="6" width="14.7109375" style="220" customWidth="1"/>
    <col min="7" max="7" width="10.7109375" style="331" customWidth="1"/>
    <col min="8" max="8" width="9.140625" style="220" customWidth="1"/>
    <col min="9" max="9" width="10.140625" style="220" bestFit="1" customWidth="1"/>
    <col min="10" max="16384" width="9.140625" style="220" customWidth="1"/>
  </cols>
  <sheetData>
    <row r="1" spans="1:7" ht="21" customHeight="1">
      <c r="A1" s="126" t="s">
        <v>358</v>
      </c>
      <c r="B1" s="127"/>
      <c r="C1" s="217"/>
      <c r="D1" s="218"/>
      <c r="E1" s="219"/>
      <c r="F1" s="219"/>
      <c r="G1" s="330"/>
    </row>
    <row r="2" spans="1:7" ht="21" customHeight="1">
      <c r="A2" s="126"/>
      <c r="B2" s="127"/>
      <c r="C2" s="217"/>
      <c r="D2" s="218"/>
      <c r="E2" s="219"/>
      <c r="F2" s="219"/>
      <c r="G2" s="330"/>
    </row>
    <row r="3" spans="1:7" ht="21" customHeight="1">
      <c r="A3" s="126"/>
      <c r="B3" s="127"/>
      <c r="C3" s="217"/>
      <c r="D3" s="218"/>
      <c r="E3" s="219"/>
      <c r="F3" s="219"/>
      <c r="G3" s="330"/>
    </row>
    <row r="4" spans="1:5" ht="15.75" customHeight="1">
      <c r="A4" s="126"/>
      <c r="B4" s="127"/>
      <c r="C4" s="221"/>
      <c r="E4" s="222"/>
    </row>
    <row r="5" spans="1:7" s="227" customFormat="1" ht="24" customHeight="1">
      <c r="A5" s="223" t="s">
        <v>359</v>
      </c>
      <c r="B5" s="223"/>
      <c r="C5" s="223"/>
      <c r="D5" s="224"/>
      <c r="E5" s="225"/>
      <c r="F5" s="226"/>
      <c r="G5" s="332"/>
    </row>
    <row r="6" spans="4:7" s="210" customFormat="1" ht="15.75" customHeight="1" thickBot="1">
      <c r="D6" s="228"/>
      <c r="E6" s="229"/>
      <c r="F6" s="226" t="s">
        <v>4</v>
      </c>
      <c r="G6" s="333"/>
    </row>
    <row r="7" spans="1:7" s="210" customFormat="1" ht="15.75" customHeight="1">
      <c r="A7" s="321" t="s">
        <v>76</v>
      </c>
      <c r="B7" s="322" t="s">
        <v>77</v>
      </c>
      <c r="C7" s="321" t="s">
        <v>79</v>
      </c>
      <c r="D7" s="321" t="s">
        <v>26</v>
      </c>
      <c r="E7" s="321" t="s">
        <v>26</v>
      </c>
      <c r="F7" s="313" t="s">
        <v>8</v>
      </c>
      <c r="G7" s="334" t="s">
        <v>360</v>
      </c>
    </row>
    <row r="8" spans="1:7" s="210" customFormat="1" ht="15.75" customHeight="1" thickBot="1">
      <c r="A8" s="323"/>
      <c r="B8" s="324"/>
      <c r="C8" s="325"/>
      <c r="D8" s="326" t="s">
        <v>28</v>
      </c>
      <c r="E8" s="326" t="s">
        <v>29</v>
      </c>
      <c r="F8" s="317" t="s">
        <v>30</v>
      </c>
      <c r="G8" s="335" t="s">
        <v>361</v>
      </c>
    </row>
    <row r="9" spans="1:7" s="210" customFormat="1" ht="16.5" customHeight="1" thickTop="1">
      <c r="A9" s="230">
        <v>10</v>
      </c>
      <c r="B9" s="231"/>
      <c r="C9" s="232" t="s">
        <v>362</v>
      </c>
      <c r="D9" s="233"/>
      <c r="E9" s="233"/>
      <c r="F9" s="233"/>
      <c r="G9" s="336"/>
    </row>
    <row r="10" spans="1:7" s="210" customFormat="1" ht="15" customHeight="1">
      <c r="A10" s="183"/>
      <c r="B10" s="234"/>
      <c r="C10" s="183"/>
      <c r="D10" s="185"/>
      <c r="E10" s="185"/>
      <c r="F10" s="185"/>
      <c r="G10" s="337"/>
    </row>
    <row r="11" spans="1:7" s="210" customFormat="1" ht="15" customHeight="1">
      <c r="A11" s="183"/>
      <c r="B11" s="235">
        <v>2143</v>
      </c>
      <c r="C11" s="150" t="s">
        <v>363</v>
      </c>
      <c r="D11" s="185">
        <v>4000</v>
      </c>
      <c r="E11" s="185">
        <v>3418.5</v>
      </c>
      <c r="F11" s="185">
        <v>3056.8</v>
      </c>
      <c r="G11" s="337">
        <f aca="true" t="shared" si="0" ref="G11:G34">(F11/E11)*100</f>
        <v>89.419335966067</v>
      </c>
    </row>
    <row r="12" spans="1:7" s="210" customFormat="1" ht="15">
      <c r="A12" s="150"/>
      <c r="B12" s="235">
        <v>3111</v>
      </c>
      <c r="C12" s="150" t="s">
        <v>364</v>
      </c>
      <c r="D12" s="236">
        <v>8600</v>
      </c>
      <c r="E12" s="236">
        <v>8650.2</v>
      </c>
      <c r="F12" s="236">
        <v>8650.1</v>
      </c>
      <c r="G12" s="337">
        <f t="shared" si="0"/>
        <v>99.99884395736515</v>
      </c>
    </row>
    <row r="13" spans="1:7" s="210" customFormat="1" ht="15">
      <c r="A13" s="150"/>
      <c r="B13" s="235">
        <v>3113</v>
      </c>
      <c r="C13" s="150" t="s">
        <v>365</v>
      </c>
      <c r="D13" s="236">
        <v>30300</v>
      </c>
      <c r="E13" s="236">
        <v>32463.3</v>
      </c>
      <c r="F13" s="236">
        <v>32462.7</v>
      </c>
      <c r="G13" s="337">
        <f t="shared" si="0"/>
        <v>99.99815175906332</v>
      </c>
    </row>
    <row r="14" spans="1:7" s="210" customFormat="1" ht="15" hidden="1">
      <c r="A14" s="150"/>
      <c r="B14" s="235">
        <v>3114</v>
      </c>
      <c r="C14" s="150" t="s">
        <v>366</v>
      </c>
      <c r="D14" s="236"/>
      <c r="E14" s="236"/>
      <c r="F14" s="236"/>
      <c r="G14" s="337" t="e">
        <f t="shared" si="0"/>
        <v>#DIV/0!</v>
      </c>
    </row>
    <row r="15" spans="1:7" s="210" customFormat="1" ht="15">
      <c r="A15" s="150"/>
      <c r="B15" s="235">
        <v>3122</v>
      </c>
      <c r="C15" s="150" t="s">
        <v>367</v>
      </c>
      <c r="D15" s="236">
        <v>350</v>
      </c>
      <c r="E15" s="236">
        <v>350</v>
      </c>
      <c r="F15" s="236">
        <v>350</v>
      </c>
      <c r="G15" s="337">
        <f t="shared" si="0"/>
        <v>100</v>
      </c>
    </row>
    <row r="16" spans="1:7" s="210" customFormat="1" ht="15">
      <c r="A16" s="150"/>
      <c r="B16" s="235">
        <v>3231</v>
      </c>
      <c r="C16" s="150" t="s">
        <v>368</v>
      </c>
      <c r="D16" s="236">
        <v>780</v>
      </c>
      <c r="E16" s="236">
        <v>505</v>
      </c>
      <c r="F16" s="236">
        <v>505</v>
      </c>
      <c r="G16" s="337">
        <f t="shared" si="0"/>
        <v>100</v>
      </c>
    </row>
    <row r="17" spans="1:7" s="210" customFormat="1" ht="15">
      <c r="A17" s="150"/>
      <c r="B17" s="235">
        <v>3313</v>
      </c>
      <c r="C17" s="150" t="s">
        <v>369</v>
      </c>
      <c r="D17" s="185">
        <v>1460</v>
      </c>
      <c r="E17" s="185">
        <v>1464</v>
      </c>
      <c r="F17" s="185">
        <v>1404.7</v>
      </c>
      <c r="G17" s="337">
        <f t="shared" si="0"/>
        <v>95.94945355191257</v>
      </c>
    </row>
    <row r="18" spans="1:7" s="210" customFormat="1" ht="15" customHeight="1" hidden="1">
      <c r="A18" s="150"/>
      <c r="B18" s="235">
        <v>3314</v>
      </c>
      <c r="C18" s="150" t="s">
        <v>370</v>
      </c>
      <c r="D18" s="185"/>
      <c r="E18" s="185"/>
      <c r="F18" s="185"/>
      <c r="G18" s="337" t="e">
        <f t="shared" si="0"/>
        <v>#DIV/0!</v>
      </c>
    </row>
    <row r="19" spans="1:7" s="210" customFormat="1" ht="15">
      <c r="A19" s="150"/>
      <c r="B19" s="235">
        <v>3314</v>
      </c>
      <c r="C19" s="150" t="s">
        <v>371</v>
      </c>
      <c r="D19" s="185">
        <v>7040</v>
      </c>
      <c r="E19" s="185">
        <v>7083</v>
      </c>
      <c r="F19" s="185">
        <v>7083</v>
      </c>
      <c r="G19" s="337">
        <f t="shared" si="0"/>
        <v>100</v>
      </c>
    </row>
    <row r="20" spans="1:7" s="210" customFormat="1" ht="13.5" customHeight="1" hidden="1">
      <c r="A20" s="150"/>
      <c r="B20" s="235">
        <v>3315</v>
      </c>
      <c r="C20" s="150" t="s">
        <v>372</v>
      </c>
      <c r="D20" s="185"/>
      <c r="E20" s="185"/>
      <c r="F20" s="185"/>
      <c r="G20" s="337" t="e">
        <f t="shared" si="0"/>
        <v>#DIV/0!</v>
      </c>
    </row>
    <row r="21" spans="1:7" s="210" customFormat="1" ht="15">
      <c r="A21" s="150"/>
      <c r="B21" s="235">
        <v>3315</v>
      </c>
      <c r="C21" s="150" t="s">
        <v>373</v>
      </c>
      <c r="D21" s="185">
        <v>6850</v>
      </c>
      <c r="E21" s="185">
        <v>7038</v>
      </c>
      <c r="F21" s="185">
        <v>7038</v>
      </c>
      <c r="G21" s="337">
        <f t="shared" si="0"/>
        <v>100</v>
      </c>
    </row>
    <row r="22" spans="1:7" s="210" customFormat="1" ht="15">
      <c r="A22" s="150"/>
      <c r="B22" s="235">
        <v>3319</v>
      </c>
      <c r="C22" s="150" t="s">
        <v>374</v>
      </c>
      <c r="D22" s="185">
        <v>620</v>
      </c>
      <c r="E22" s="185">
        <v>965</v>
      </c>
      <c r="F22" s="185">
        <v>722.7</v>
      </c>
      <c r="G22" s="337">
        <f t="shared" si="0"/>
        <v>74.89119170984456</v>
      </c>
    </row>
    <row r="23" spans="1:7" s="210" customFormat="1" ht="15">
      <c r="A23" s="150"/>
      <c r="B23" s="235">
        <v>3322</v>
      </c>
      <c r="C23" s="150" t="s">
        <v>375</v>
      </c>
      <c r="D23" s="185">
        <v>50</v>
      </c>
      <c r="E23" s="185">
        <v>0</v>
      </c>
      <c r="F23" s="185">
        <v>0</v>
      </c>
      <c r="G23" s="337" t="e">
        <f t="shared" si="0"/>
        <v>#DIV/0!</v>
      </c>
    </row>
    <row r="24" spans="1:7" s="210" customFormat="1" ht="15">
      <c r="A24" s="150"/>
      <c r="B24" s="235">
        <v>3326</v>
      </c>
      <c r="C24" s="150" t="s">
        <v>376</v>
      </c>
      <c r="D24" s="185">
        <v>60</v>
      </c>
      <c r="E24" s="185">
        <v>0</v>
      </c>
      <c r="F24" s="185">
        <v>0</v>
      </c>
      <c r="G24" s="337" t="e">
        <f t="shared" si="0"/>
        <v>#DIV/0!</v>
      </c>
    </row>
    <row r="25" spans="1:7" s="210" customFormat="1" ht="15">
      <c r="A25" s="150"/>
      <c r="B25" s="235">
        <v>3330</v>
      </c>
      <c r="C25" s="150" t="s">
        <v>377</v>
      </c>
      <c r="D25" s="185">
        <v>50</v>
      </c>
      <c r="E25" s="185">
        <v>70</v>
      </c>
      <c r="F25" s="185">
        <v>65</v>
      </c>
      <c r="G25" s="337">
        <f t="shared" si="0"/>
        <v>92.85714285714286</v>
      </c>
    </row>
    <row r="26" spans="1:7" s="210" customFormat="1" ht="15">
      <c r="A26" s="150"/>
      <c r="B26" s="235">
        <v>3392</v>
      </c>
      <c r="C26" s="150" t="s">
        <v>378</v>
      </c>
      <c r="D26" s="185">
        <v>800</v>
      </c>
      <c r="E26" s="185">
        <v>853.3</v>
      </c>
      <c r="F26" s="185">
        <v>830.9</v>
      </c>
      <c r="G26" s="337">
        <f t="shared" si="0"/>
        <v>97.37489745693192</v>
      </c>
    </row>
    <row r="27" spans="1:7" s="210" customFormat="1" ht="15">
      <c r="A27" s="150"/>
      <c r="B27" s="235">
        <v>3399</v>
      </c>
      <c r="C27" s="150" t="s">
        <v>379</v>
      </c>
      <c r="D27" s="185">
        <v>2700</v>
      </c>
      <c r="E27" s="185">
        <v>3119.8</v>
      </c>
      <c r="F27" s="185">
        <v>2881.1</v>
      </c>
      <c r="G27" s="337">
        <f t="shared" si="0"/>
        <v>92.34886851721264</v>
      </c>
    </row>
    <row r="28" spans="1:7" s="210" customFormat="1" ht="15">
      <c r="A28" s="150"/>
      <c r="B28" s="235">
        <v>3412</v>
      </c>
      <c r="C28" s="150" t="s">
        <v>380</v>
      </c>
      <c r="D28" s="185">
        <v>13438</v>
      </c>
      <c r="E28" s="185">
        <v>13840.6</v>
      </c>
      <c r="F28" s="185">
        <v>13839.4</v>
      </c>
      <c r="G28" s="337">
        <f t="shared" si="0"/>
        <v>99.99132985564209</v>
      </c>
    </row>
    <row r="29" spans="1:7" s="210" customFormat="1" ht="15">
      <c r="A29" s="150"/>
      <c r="B29" s="235">
        <v>3412</v>
      </c>
      <c r="C29" s="150" t="s">
        <v>381</v>
      </c>
      <c r="D29" s="185">
        <f>20284-13438</f>
        <v>6846</v>
      </c>
      <c r="E29" s="185">
        <f>19236.1-13840.6</f>
        <v>5395.499999999998</v>
      </c>
      <c r="F29" s="185">
        <f>19176.6-13839.4</f>
        <v>5337.199999999999</v>
      </c>
      <c r="G29" s="337">
        <f t="shared" si="0"/>
        <v>98.91946992864426</v>
      </c>
    </row>
    <row r="30" spans="1:7" s="210" customFormat="1" ht="15">
      <c r="A30" s="150"/>
      <c r="B30" s="235">
        <v>3419</v>
      </c>
      <c r="C30" s="150" t="s">
        <v>382</v>
      </c>
      <c r="D30" s="236">
        <v>2050</v>
      </c>
      <c r="E30" s="236">
        <v>3752</v>
      </c>
      <c r="F30" s="236">
        <v>3700.4</v>
      </c>
      <c r="G30" s="337">
        <f t="shared" si="0"/>
        <v>98.62473347547974</v>
      </c>
    </row>
    <row r="31" spans="1:7" s="210" customFormat="1" ht="15">
      <c r="A31" s="150"/>
      <c r="B31" s="235">
        <v>3421</v>
      </c>
      <c r="C31" s="150" t="s">
        <v>383</v>
      </c>
      <c r="D31" s="236">
        <v>3116</v>
      </c>
      <c r="E31" s="236">
        <v>2882.6</v>
      </c>
      <c r="F31" s="236">
        <v>2860.7</v>
      </c>
      <c r="G31" s="337">
        <f t="shared" si="0"/>
        <v>99.24026920141539</v>
      </c>
    </row>
    <row r="32" spans="1:7" s="210" customFormat="1" ht="15">
      <c r="A32" s="150"/>
      <c r="B32" s="235">
        <v>3429</v>
      </c>
      <c r="C32" s="150" t="s">
        <v>384</v>
      </c>
      <c r="D32" s="236">
        <v>1500</v>
      </c>
      <c r="E32" s="236">
        <v>1391</v>
      </c>
      <c r="F32" s="236">
        <v>1335.8</v>
      </c>
      <c r="G32" s="337">
        <f t="shared" si="0"/>
        <v>96.03163191948238</v>
      </c>
    </row>
    <row r="33" spans="1:7" s="210" customFormat="1" ht="15">
      <c r="A33" s="150"/>
      <c r="B33" s="235">
        <v>6223</v>
      </c>
      <c r="C33" s="150" t="s">
        <v>385</v>
      </c>
      <c r="D33" s="185">
        <v>150</v>
      </c>
      <c r="E33" s="185">
        <v>27.7</v>
      </c>
      <c r="F33" s="185">
        <v>26.5</v>
      </c>
      <c r="G33" s="337">
        <f t="shared" si="0"/>
        <v>95.66787003610109</v>
      </c>
    </row>
    <row r="34" spans="1:7" s="210" customFormat="1" ht="15">
      <c r="A34" s="150"/>
      <c r="B34" s="235">
        <v>6409</v>
      </c>
      <c r="C34" s="150" t="s">
        <v>386</v>
      </c>
      <c r="D34" s="185">
        <v>1000</v>
      </c>
      <c r="E34" s="185">
        <v>0</v>
      </c>
      <c r="F34" s="185">
        <v>0</v>
      </c>
      <c r="G34" s="337" t="e">
        <f t="shared" si="0"/>
        <v>#DIV/0!</v>
      </c>
    </row>
    <row r="35" spans="1:7" s="210" customFormat="1" ht="14.25" customHeight="1" thickBot="1">
      <c r="A35" s="237"/>
      <c r="B35" s="238"/>
      <c r="C35" s="239"/>
      <c r="D35" s="240"/>
      <c r="E35" s="240"/>
      <c r="F35" s="240"/>
      <c r="G35" s="338"/>
    </row>
    <row r="36" spans="1:7" s="210" customFormat="1" ht="18.75" customHeight="1" thickBot="1" thickTop="1">
      <c r="A36" s="241"/>
      <c r="B36" s="242"/>
      <c r="C36" s="243" t="s">
        <v>387</v>
      </c>
      <c r="D36" s="244">
        <f>SUM(D11:D35)</f>
        <v>91760</v>
      </c>
      <c r="E36" s="244">
        <f>SUM(E11:E35)</f>
        <v>93269.50000000001</v>
      </c>
      <c r="F36" s="244">
        <f>SUM(F11:F35)</f>
        <v>92149.99999999999</v>
      </c>
      <c r="G36" s="339">
        <f>(F36/E36)*100</f>
        <v>98.79971480494693</v>
      </c>
    </row>
    <row r="37" spans="1:7" s="210" customFormat="1" ht="15.75" customHeight="1">
      <c r="A37" s="209"/>
      <c r="B37" s="212"/>
      <c r="C37" s="245"/>
      <c r="D37" s="246"/>
      <c r="E37" s="246"/>
      <c r="F37" s="246"/>
      <c r="G37" s="340"/>
    </row>
    <row r="38" spans="1:7" s="210" customFormat="1" ht="18.75" customHeight="1" hidden="1">
      <c r="A38" s="209"/>
      <c r="B38" s="212"/>
      <c r="C38" s="245"/>
      <c r="D38" s="246"/>
      <c r="E38" s="246"/>
      <c r="F38" s="246"/>
      <c r="G38" s="340"/>
    </row>
    <row r="39" spans="1:7" s="210" customFormat="1" ht="18.75" customHeight="1" hidden="1">
      <c r="A39" s="209"/>
      <c r="B39" s="212"/>
      <c r="C39" s="245"/>
      <c r="D39" s="246"/>
      <c r="E39" s="246"/>
      <c r="F39" s="246"/>
      <c r="G39" s="340"/>
    </row>
    <row r="40" spans="1:7" s="210" customFormat="1" ht="15.75" customHeight="1">
      <c r="A40" s="209"/>
      <c r="B40" s="212"/>
      <c r="C40" s="245"/>
      <c r="D40" s="246"/>
      <c r="E40" s="246"/>
      <c r="F40" s="246"/>
      <c r="G40" s="340"/>
    </row>
    <row r="41" spans="1:7" s="210" customFormat="1" ht="15.75" customHeight="1">
      <c r="A41" s="209"/>
      <c r="B41" s="212"/>
      <c r="C41" s="245"/>
      <c r="D41" s="247"/>
      <c r="E41" s="247"/>
      <c r="F41" s="247"/>
      <c r="G41" s="340"/>
    </row>
    <row r="42" spans="1:7" s="210" customFormat="1" ht="12.75" customHeight="1" hidden="1">
      <c r="A42" s="209"/>
      <c r="B42" s="212"/>
      <c r="C42" s="245"/>
      <c r="D42" s="247"/>
      <c r="E42" s="247"/>
      <c r="F42" s="247"/>
      <c r="G42" s="340"/>
    </row>
    <row r="43" spans="1:7" s="210" customFormat="1" ht="12.75" customHeight="1" hidden="1">
      <c r="A43" s="209"/>
      <c r="B43" s="212"/>
      <c r="C43" s="245"/>
      <c r="D43" s="247"/>
      <c r="E43" s="247"/>
      <c r="F43" s="247"/>
      <c r="G43" s="340"/>
    </row>
    <row r="44" spans="2:7" s="210" customFormat="1" ht="15.75" customHeight="1" thickBot="1">
      <c r="B44" s="248"/>
      <c r="G44" s="309"/>
    </row>
    <row r="45" spans="1:7" s="210" customFormat="1" ht="15.75">
      <c r="A45" s="321" t="s">
        <v>76</v>
      </c>
      <c r="B45" s="322" t="s">
        <v>77</v>
      </c>
      <c r="C45" s="321" t="s">
        <v>79</v>
      </c>
      <c r="D45" s="321" t="s">
        <v>26</v>
      </c>
      <c r="E45" s="321" t="s">
        <v>26</v>
      </c>
      <c r="F45" s="313" t="s">
        <v>8</v>
      </c>
      <c r="G45" s="334" t="s">
        <v>360</v>
      </c>
    </row>
    <row r="46" spans="1:7" s="210" customFormat="1" ht="15.75" customHeight="1" thickBot="1">
      <c r="A46" s="323"/>
      <c r="B46" s="324"/>
      <c r="C46" s="325"/>
      <c r="D46" s="326" t="s">
        <v>28</v>
      </c>
      <c r="E46" s="326" t="s">
        <v>29</v>
      </c>
      <c r="F46" s="317" t="s">
        <v>30</v>
      </c>
      <c r="G46" s="335" t="s">
        <v>361</v>
      </c>
    </row>
    <row r="47" spans="1:7" s="210" customFormat="1" ht="16.5" customHeight="1" thickTop="1">
      <c r="A47" s="230">
        <v>20</v>
      </c>
      <c r="B47" s="231"/>
      <c r="C47" s="133" t="s">
        <v>388</v>
      </c>
      <c r="D47" s="171"/>
      <c r="E47" s="171"/>
      <c r="F47" s="171"/>
      <c r="G47" s="341"/>
    </row>
    <row r="48" spans="1:7" s="210" customFormat="1" ht="15" customHeight="1">
      <c r="A48" s="183"/>
      <c r="B48" s="234"/>
      <c r="C48" s="133"/>
      <c r="D48" s="185"/>
      <c r="E48" s="185"/>
      <c r="F48" s="185"/>
      <c r="G48" s="337"/>
    </row>
    <row r="49" spans="1:7" s="210" customFormat="1" ht="15">
      <c r="A49" s="150"/>
      <c r="B49" s="235">
        <v>2212</v>
      </c>
      <c r="C49" s="186" t="s">
        <v>389</v>
      </c>
      <c r="D49" s="136">
        <f>23284-12267</f>
        <v>11017</v>
      </c>
      <c r="E49" s="136">
        <f>25245.6-3000-11394.6</f>
        <v>10850.999999999998</v>
      </c>
      <c r="F49" s="136">
        <f>19305.5-62-9792.1</f>
        <v>9451.4</v>
      </c>
      <c r="G49" s="337">
        <f aca="true" t="shared" si="1" ref="G49:G85">(F49/E49)*100</f>
        <v>87.10164961754678</v>
      </c>
    </row>
    <row r="50" spans="1:7" s="210" customFormat="1" ht="15" customHeight="1">
      <c r="A50" s="150"/>
      <c r="B50" s="235">
        <v>2219</v>
      </c>
      <c r="C50" s="186" t="s">
        <v>390</v>
      </c>
      <c r="D50" s="136">
        <f>18169-2500-7839</f>
        <v>7830</v>
      </c>
      <c r="E50" s="136">
        <f>38880.8-429-24930.9-90.1</f>
        <v>13430.800000000001</v>
      </c>
      <c r="F50" s="136">
        <f>21557-63.5-9397.5-89.9</f>
        <v>12006.1</v>
      </c>
      <c r="G50" s="337">
        <f t="shared" si="1"/>
        <v>89.39229234297287</v>
      </c>
    </row>
    <row r="51" spans="1:7" s="210" customFormat="1" ht="15">
      <c r="A51" s="150"/>
      <c r="B51" s="235">
        <v>2221</v>
      </c>
      <c r="C51" s="186" t="s">
        <v>391</v>
      </c>
      <c r="D51" s="136">
        <f>65450-65350</f>
        <v>100</v>
      </c>
      <c r="E51" s="136">
        <f>35864-16956.3-18904</f>
        <v>3.7000000000007276</v>
      </c>
      <c r="F51" s="136">
        <f>23687.2-14741.5-8942.1</f>
        <v>3.600000000000364</v>
      </c>
      <c r="G51" s="337">
        <f t="shared" si="1"/>
        <v>97.297297297288</v>
      </c>
    </row>
    <row r="52" spans="1:7" s="210" customFormat="1" ht="15">
      <c r="A52" s="150"/>
      <c r="B52" s="235">
        <v>2229</v>
      </c>
      <c r="C52" s="186" t="s">
        <v>392</v>
      </c>
      <c r="D52" s="136">
        <v>10</v>
      </c>
      <c r="E52" s="136">
        <v>10</v>
      </c>
      <c r="F52" s="136">
        <v>8.2</v>
      </c>
      <c r="G52" s="337">
        <f t="shared" si="1"/>
        <v>82</v>
      </c>
    </row>
    <row r="53" spans="1:7" s="210" customFormat="1" ht="15" hidden="1">
      <c r="A53" s="150"/>
      <c r="B53" s="235">
        <v>2241</v>
      </c>
      <c r="C53" s="186" t="s">
        <v>393</v>
      </c>
      <c r="D53" s="136"/>
      <c r="E53" s="136"/>
      <c r="F53" s="136"/>
      <c r="G53" s="337" t="e">
        <f t="shared" si="1"/>
        <v>#DIV/0!</v>
      </c>
    </row>
    <row r="54" spans="1:7" s="210" customFormat="1" ht="15" hidden="1">
      <c r="A54" s="150"/>
      <c r="B54" s="235">
        <v>2310</v>
      </c>
      <c r="C54" s="186" t="s">
        <v>394</v>
      </c>
      <c r="D54" s="136"/>
      <c r="E54" s="136"/>
      <c r="F54" s="136"/>
      <c r="G54" s="337" t="e">
        <f t="shared" si="1"/>
        <v>#DIV/0!</v>
      </c>
    </row>
    <row r="55" spans="1:7" s="210" customFormat="1" ht="15">
      <c r="A55" s="150"/>
      <c r="B55" s="235">
        <v>2321</v>
      </c>
      <c r="C55" s="186" t="s">
        <v>395</v>
      </c>
      <c r="D55" s="136">
        <v>50</v>
      </c>
      <c r="E55" s="136">
        <v>52.7</v>
      </c>
      <c r="F55" s="136">
        <v>52.6</v>
      </c>
      <c r="G55" s="337">
        <f t="shared" si="1"/>
        <v>99.81024667931689</v>
      </c>
    </row>
    <row r="56" spans="1:7" s="215" customFormat="1" ht="15.75">
      <c r="A56" s="150"/>
      <c r="B56" s="235">
        <v>2331</v>
      </c>
      <c r="C56" s="186" t="s">
        <v>396</v>
      </c>
      <c r="D56" s="185">
        <f>727-727</f>
        <v>0</v>
      </c>
      <c r="E56" s="185">
        <f>633.2-601.1</f>
        <v>32.10000000000002</v>
      </c>
      <c r="F56" s="185">
        <f>610.8-588.4</f>
        <v>22.399999999999977</v>
      </c>
      <c r="G56" s="337">
        <f t="shared" si="1"/>
        <v>69.78193146417433</v>
      </c>
    </row>
    <row r="57" spans="1:7" s="210" customFormat="1" ht="15">
      <c r="A57" s="150"/>
      <c r="B57" s="235">
        <v>3111</v>
      </c>
      <c r="C57" s="249" t="s">
        <v>397</v>
      </c>
      <c r="D57" s="136">
        <f>10321-10321</f>
        <v>0</v>
      </c>
      <c r="E57" s="136">
        <f>14833.1-12881.8</f>
        <v>1951.300000000001</v>
      </c>
      <c r="F57" s="134">
        <f>6532.7-4737.2</f>
        <v>1795.5</v>
      </c>
      <c r="G57" s="337">
        <f t="shared" si="1"/>
        <v>92.01557935735146</v>
      </c>
    </row>
    <row r="58" spans="1:7" s="210" customFormat="1" ht="15">
      <c r="A58" s="150"/>
      <c r="B58" s="235">
        <v>3113</v>
      </c>
      <c r="C58" s="249" t="s">
        <v>398</v>
      </c>
      <c r="D58" s="136">
        <f>11824-11824</f>
        <v>0</v>
      </c>
      <c r="E58" s="136">
        <f>12681-10118.2</f>
        <v>2562.7999999999993</v>
      </c>
      <c r="F58" s="134">
        <f>4738.4-2681</f>
        <v>2057.3999999999996</v>
      </c>
      <c r="G58" s="337">
        <f t="shared" si="1"/>
        <v>80.27938192601842</v>
      </c>
    </row>
    <row r="59" spans="1:7" s="215" customFormat="1" ht="15.75">
      <c r="A59" s="150"/>
      <c r="B59" s="235">
        <v>3231</v>
      </c>
      <c r="C59" s="186" t="s">
        <v>399</v>
      </c>
      <c r="D59" s="185">
        <v>0</v>
      </c>
      <c r="E59" s="185">
        <v>421.3</v>
      </c>
      <c r="F59" s="185">
        <v>421.1</v>
      </c>
      <c r="G59" s="337">
        <f t="shared" si="1"/>
        <v>99.95252788986471</v>
      </c>
    </row>
    <row r="60" spans="1:7" s="215" customFormat="1" ht="15.75">
      <c r="A60" s="150"/>
      <c r="B60" s="235">
        <v>3313</v>
      </c>
      <c r="C60" s="186" t="s">
        <v>400</v>
      </c>
      <c r="D60" s="185">
        <f>400-400</f>
        <v>0</v>
      </c>
      <c r="E60" s="185">
        <f>465.7-400</f>
        <v>65.69999999999999</v>
      </c>
      <c r="F60" s="185">
        <f>65.6-0</f>
        <v>65.6</v>
      </c>
      <c r="G60" s="337">
        <f t="shared" si="1"/>
        <v>99.84779299847794</v>
      </c>
    </row>
    <row r="61" spans="1:7" s="210" customFormat="1" ht="15">
      <c r="A61" s="150"/>
      <c r="B61" s="235">
        <v>3322</v>
      </c>
      <c r="C61" s="249" t="s">
        <v>401</v>
      </c>
      <c r="D61" s="136">
        <v>0</v>
      </c>
      <c r="E61" s="136">
        <v>76.4</v>
      </c>
      <c r="F61" s="136">
        <v>74.2</v>
      </c>
      <c r="G61" s="337">
        <f t="shared" si="1"/>
        <v>97.12041884816753</v>
      </c>
    </row>
    <row r="62" spans="1:7" s="210" customFormat="1" ht="15">
      <c r="A62" s="150"/>
      <c r="B62" s="235">
        <v>3326</v>
      </c>
      <c r="C62" s="249" t="s">
        <v>402</v>
      </c>
      <c r="D62" s="136">
        <v>0</v>
      </c>
      <c r="E62" s="136">
        <v>6.6</v>
      </c>
      <c r="F62" s="136">
        <v>6.5</v>
      </c>
      <c r="G62" s="337">
        <f t="shared" si="1"/>
        <v>98.48484848484848</v>
      </c>
    </row>
    <row r="63" spans="1:7" s="215" customFormat="1" ht="15.75">
      <c r="A63" s="150"/>
      <c r="B63" s="235">
        <v>3392</v>
      </c>
      <c r="C63" s="186" t="s">
        <v>403</v>
      </c>
      <c r="D63" s="185">
        <v>0</v>
      </c>
      <c r="E63" s="185">
        <v>192.8</v>
      </c>
      <c r="F63" s="185">
        <v>172.2</v>
      </c>
      <c r="G63" s="337">
        <f t="shared" si="1"/>
        <v>89.31535269709543</v>
      </c>
    </row>
    <row r="64" spans="1:7" s="210" customFormat="1" ht="15">
      <c r="A64" s="150"/>
      <c r="B64" s="235">
        <v>3412</v>
      </c>
      <c r="C64" s="249" t="s">
        <v>404</v>
      </c>
      <c r="D64" s="136">
        <v>0</v>
      </c>
      <c r="E64" s="136">
        <v>781.3</v>
      </c>
      <c r="F64" s="136">
        <v>781.2</v>
      </c>
      <c r="G64" s="337">
        <f t="shared" si="1"/>
        <v>99.98720081914757</v>
      </c>
    </row>
    <row r="65" spans="1:7" s="210" customFormat="1" ht="15">
      <c r="A65" s="150"/>
      <c r="B65" s="235">
        <v>3421</v>
      </c>
      <c r="C65" s="249" t="s">
        <v>405</v>
      </c>
      <c r="D65" s="136">
        <f>24-0</f>
        <v>24</v>
      </c>
      <c r="E65" s="136">
        <f>1837.6-1716.5</f>
        <v>121.09999999999991</v>
      </c>
      <c r="F65" s="136">
        <f>571.1-529.3</f>
        <v>41.80000000000007</v>
      </c>
      <c r="G65" s="337">
        <f t="shared" si="1"/>
        <v>34.51692815854674</v>
      </c>
    </row>
    <row r="66" spans="1:7" s="210" customFormat="1" ht="15" hidden="1">
      <c r="A66" s="150"/>
      <c r="B66" s="235">
        <v>3612</v>
      </c>
      <c r="C66" s="249" t="s">
        <v>406</v>
      </c>
      <c r="D66" s="136"/>
      <c r="E66" s="136"/>
      <c r="F66" s="136"/>
      <c r="G66" s="337" t="e">
        <f t="shared" si="1"/>
        <v>#DIV/0!</v>
      </c>
    </row>
    <row r="67" spans="1:7" s="210" customFormat="1" ht="15">
      <c r="A67" s="150"/>
      <c r="B67" s="235">
        <v>3613</v>
      </c>
      <c r="C67" s="249" t="s">
        <v>407</v>
      </c>
      <c r="D67" s="136">
        <v>0</v>
      </c>
      <c r="E67" s="136">
        <f>1856.1-1580</f>
        <v>276.0999999999999</v>
      </c>
      <c r="F67" s="136">
        <f>284-98.2</f>
        <v>185.8</v>
      </c>
      <c r="G67" s="337">
        <f t="shared" si="1"/>
        <v>67.29445852951832</v>
      </c>
    </row>
    <row r="68" spans="1:7" s="210" customFormat="1" ht="15">
      <c r="A68" s="150"/>
      <c r="B68" s="235">
        <v>3631</v>
      </c>
      <c r="C68" s="249" t="s">
        <v>408</v>
      </c>
      <c r="D68" s="136">
        <v>7700</v>
      </c>
      <c r="E68" s="136">
        <v>10458.3</v>
      </c>
      <c r="F68" s="136">
        <v>9429.1</v>
      </c>
      <c r="G68" s="337">
        <f t="shared" si="1"/>
        <v>90.15901245900386</v>
      </c>
    </row>
    <row r="69" spans="1:7" s="215" customFormat="1" ht="15.75">
      <c r="A69" s="150"/>
      <c r="B69" s="235">
        <v>3632</v>
      </c>
      <c r="C69" s="186" t="s">
        <v>409</v>
      </c>
      <c r="D69" s="185">
        <f>600-600</f>
        <v>0</v>
      </c>
      <c r="E69" s="185">
        <f>642-600</f>
        <v>42</v>
      </c>
      <c r="F69" s="185">
        <v>0</v>
      </c>
      <c r="G69" s="337">
        <f t="shared" si="1"/>
        <v>0</v>
      </c>
    </row>
    <row r="70" spans="1:7" s="210" customFormat="1" ht="15">
      <c r="A70" s="150"/>
      <c r="B70" s="235">
        <v>3635</v>
      </c>
      <c r="C70" s="249" t="s">
        <v>410</v>
      </c>
      <c r="D70" s="136">
        <f>3375-1405</f>
        <v>1970</v>
      </c>
      <c r="E70" s="136">
        <f>2542.6-1405</f>
        <v>1137.6</v>
      </c>
      <c r="F70" s="136">
        <f>238-131.9</f>
        <v>106.1</v>
      </c>
      <c r="G70" s="337">
        <f t="shared" si="1"/>
        <v>9.326652601969059</v>
      </c>
    </row>
    <row r="71" spans="1:7" s="215" customFormat="1" ht="15.75">
      <c r="A71" s="150"/>
      <c r="B71" s="235">
        <v>3639</v>
      </c>
      <c r="C71" s="186" t="s">
        <v>411</v>
      </c>
      <c r="D71" s="185">
        <v>216</v>
      </c>
      <c r="E71" s="185">
        <v>252.8</v>
      </c>
      <c r="F71" s="185">
        <v>252.8</v>
      </c>
      <c r="G71" s="337">
        <f t="shared" si="1"/>
        <v>100</v>
      </c>
    </row>
    <row r="72" spans="1:7" s="210" customFormat="1" ht="15">
      <c r="A72" s="150"/>
      <c r="B72" s="235">
        <v>3699</v>
      </c>
      <c r="C72" s="249" t="s">
        <v>412</v>
      </c>
      <c r="D72" s="134">
        <v>50</v>
      </c>
      <c r="E72" s="134">
        <v>148.7</v>
      </c>
      <c r="F72" s="134">
        <f>141.2</f>
        <v>141.2</v>
      </c>
      <c r="G72" s="337">
        <f t="shared" si="1"/>
        <v>94.9562878278413</v>
      </c>
    </row>
    <row r="73" spans="1:7" s="210" customFormat="1" ht="15">
      <c r="A73" s="150"/>
      <c r="B73" s="235">
        <v>3722</v>
      </c>
      <c r="C73" s="249" t="s">
        <v>413</v>
      </c>
      <c r="D73" s="136">
        <v>21050</v>
      </c>
      <c r="E73" s="136">
        <v>20875</v>
      </c>
      <c r="F73" s="136">
        <f>20396.6</f>
        <v>20396.6</v>
      </c>
      <c r="G73" s="337">
        <f t="shared" si="1"/>
        <v>97.70826347305388</v>
      </c>
    </row>
    <row r="74" spans="1:7" s="215" customFormat="1" ht="15.75">
      <c r="A74" s="150"/>
      <c r="B74" s="235">
        <v>3726</v>
      </c>
      <c r="C74" s="186" t="s">
        <v>414</v>
      </c>
      <c r="D74" s="185">
        <v>0</v>
      </c>
      <c r="E74" s="185">
        <f>2032.8-2013.8</f>
        <v>19</v>
      </c>
      <c r="F74" s="185">
        <f>1988.2-1988.2</f>
        <v>0</v>
      </c>
      <c r="G74" s="337">
        <f t="shared" si="1"/>
        <v>0</v>
      </c>
    </row>
    <row r="75" spans="1:7" s="215" customFormat="1" ht="15.75">
      <c r="A75" s="150"/>
      <c r="B75" s="235">
        <v>3733</v>
      </c>
      <c r="C75" s="186" t="s">
        <v>415</v>
      </c>
      <c r="D75" s="185">
        <v>0</v>
      </c>
      <c r="E75" s="185">
        <v>30.8</v>
      </c>
      <c r="F75" s="185">
        <v>30.8</v>
      </c>
      <c r="G75" s="337">
        <f t="shared" si="1"/>
        <v>100</v>
      </c>
    </row>
    <row r="76" spans="1:7" s="215" customFormat="1" ht="15.75">
      <c r="A76" s="150"/>
      <c r="B76" s="235">
        <v>3744</v>
      </c>
      <c r="C76" s="186" t="s">
        <v>416</v>
      </c>
      <c r="D76" s="185">
        <v>0</v>
      </c>
      <c r="E76" s="185">
        <v>15.6</v>
      </c>
      <c r="F76" s="185">
        <v>13.9</v>
      </c>
      <c r="G76" s="337">
        <f t="shared" si="1"/>
        <v>89.1025641025641</v>
      </c>
    </row>
    <row r="77" spans="1:7" s="215" customFormat="1" ht="15.75">
      <c r="A77" s="150"/>
      <c r="B77" s="235">
        <v>3745</v>
      </c>
      <c r="C77" s="186" t="s">
        <v>417</v>
      </c>
      <c r="D77" s="185">
        <v>19109</v>
      </c>
      <c r="E77" s="185">
        <f>23732-58.7-597-50-100-10.8</f>
        <v>22915.5</v>
      </c>
      <c r="F77" s="185">
        <f>20543-58.7-5.4-0-0-10.8</f>
        <v>20468.1</v>
      </c>
      <c r="G77" s="337">
        <f t="shared" si="1"/>
        <v>89.31989264908032</v>
      </c>
    </row>
    <row r="78" spans="1:7" s="215" customFormat="1" ht="15.75">
      <c r="A78" s="150"/>
      <c r="B78" s="235">
        <v>4349</v>
      </c>
      <c r="C78" s="186" t="s">
        <v>418</v>
      </c>
      <c r="D78" s="134">
        <v>0</v>
      </c>
      <c r="E78" s="134">
        <f>2060.3-808-116.9-400</f>
        <v>735.4000000000001</v>
      </c>
      <c r="F78" s="134">
        <f>2007.5-807.6-116.9-367.4</f>
        <v>715.6</v>
      </c>
      <c r="G78" s="337">
        <f t="shared" si="1"/>
        <v>97.30758770737012</v>
      </c>
    </row>
    <row r="79" spans="1:7" s="215" customFormat="1" ht="15.75">
      <c r="A79" s="154"/>
      <c r="B79" s="235">
        <v>4357</v>
      </c>
      <c r="C79" s="249" t="s">
        <v>419</v>
      </c>
      <c r="D79" s="134">
        <f>500-500</f>
        <v>0</v>
      </c>
      <c r="E79" s="134">
        <f>1373.2-500-840</f>
        <v>33.200000000000045</v>
      </c>
      <c r="F79" s="136">
        <f>1332.5-840-492.5</f>
        <v>0</v>
      </c>
      <c r="G79" s="337">
        <f t="shared" si="1"/>
        <v>0</v>
      </c>
    </row>
    <row r="80" spans="1:7" s="210" customFormat="1" ht="15" hidden="1">
      <c r="A80" s="154"/>
      <c r="B80" s="235">
        <v>5212</v>
      </c>
      <c r="C80" s="249" t="s">
        <v>420</v>
      </c>
      <c r="D80" s="134"/>
      <c r="E80" s="134"/>
      <c r="F80" s="136"/>
      <c r="G80" s="337" t="e">
        <f t="shared" si="1"/>
        <v>#DIV/0!</v>
      </c>
    </row>
    <row r="81" spans="1:7" s="210" customFormat="1" ht="15" hidden="1">
      <c r="A81" s="154"/>
      <c r="B81" s="235">
        <v>6223</v>
      </c>
      <c r="C81" s="249" t="s">
        <v>421</v>
      </c>
      <c r="D81" s="134"/>
      <c r="E81" s="134"/>
      <c r="F81" s="134"/>
      <c r="G81" s="337" t="e">
        <f t="shared" si="1"/>
        <v>#DIV/0!</v>
      </c>
    </row>
    <row r="82" spans="1:7" s="210" customFormat="1" ht="15">
      <c r="A82" s="154"/>
      <c r="B82" s="235">
        <v>6171</v>
      </c>
      <c r="C82" s="249" t="s">
        <v>422</v>
      </c>
      <c r="D82" s="134">
        <f>2700-2700</f>
        <v>0</v>
      </c>
      <c r="E82" s="134">
        <f>2459.3-2236.9</f>
        <v>222.4000000000001</v>
      </c>
      <c r="F82" s="134">
        <f>2459.1-2236.9</f>
        <v>222.19999999999982</v>
      </c>
      <c r="G82" s="337">
        <f t="shared" si="1"/>
        <v>99.91007194244592</v>
      </c>
    </row>
    <row r="83" spans="1:7" s="210" customFormat="1" ht="15">
      <c r="A83" s="154">
        <v>6409</v>
      </c>
      <c r="B83" s="235">
        <v>6409</v>
      </c>
      <c r="C83" s="249" t="s">
        <v>423</v>
      </c>
      <c r="D83" s="134">
        <v>2400</v>
      </c>
      <c r="E83" s="134">
        <v>0</v>
      </c>
      <c r="F83" s="134">
        <v>0</v>
      </c>
      <c r="G83" s="337" t="e">
        <f t="shared" si="1"/>
        <v>#DIV/0!</v>
      </c>
    </row>
    <row r="84" spans="1:7" s="215" customFormat="1" ht="15.75">
      <c r="A84" s="150"/>
      <c r="B84" s="235">
        <v>3315</v>
      </c>
      <c r="C84" s="186" t="s">
        <v>424</v>
      </c>
      <c r="D84" s="185">
        <v>0</v>
      </c>
      <c r="E84" s="185">
        <v>0</v>
      </c>
      <c r="F84" s="185">
        <v>0</v>
      </c>
      <c r="G84" s="337" t="e">
        <f t="shared" si="1"/>
        <v>#DIV/0!</v>
      </c>
    </row>
    <row r="85" spans="1:7" s="215" customFormat="1" ht="15.75">
      <c r="A85" s="232"/>
      <c r="B85" s="234"/>
      <c r="C85" s="250" t="s">
        <v>425</v>
      </c>
      <c r="D85" s="251">
        <f>SUM(D49:D84)</f>
        <v>71526</v>
      </c>
      <c r="E85" s="251">
        <f>SUM(E49:E84)</f>
        <v>87721.99999999999</v>
      </c>
      <c r="F85" s="251">
        <f>SUM(F49:F84)</f>
        <v>78922</v>
      </c>
      <c r="G85" s="337">
        <f t="shared" si="1"/>
        <v>89.96830897608355</v>
      </c>
    </row>
    <row r="86" spans="1:7" s="215" customFormat="1" ht="14.25" customHeight="1">
      <c r="A86" s="150"/>
      <c r="B86" s="235"/>
      <c r="C86" s="186"/>
      <c r="D86" s="252"/>
      <c r="E86" s="252"/>
      <c r="F86" s="252"/>
      <c r="G86" s="337"/>
    </row>
    <row r="87" spans="1:9" s="215" customFormat="1" ht="15.75">
      <c r="A87" s="150">
        <v>1028000000</v>
      </c>
      <c r="B87" s="235">
        <v>2212</v>
      </c>
      <c r="C87" s="253" t="s">
        <v>426</v>
      </c>
      <c r="D87" s="185">
        <v>6500</v>
      </c>
      <c r="E87" s="185">
        <v>5887.2</v>
      </c>
      <c r="F87" s="185">
        <v>4509.5</v>
      </c>
      <c r="G87" s="337">
        <f aca="true" t="shared" si="2" ref="G87:G118">(F87/E87)*100</f>
        <v>76.59838293246365</v>
      </c>
      <c r="I87" s="254"/>
    </row>
    <row r="88" spans="1:7" s="215" customFormat="1" ht="15.75">
      <c r="A88" s="150">
        <v>1042000000</v>
      </c>
      <c r="B88" s="235">
        <v>2212</v>
      </c>
      <c r="C88" s="186" t="s">
        <v>427</v>
      </c>
      <c r="D88" s="185">
        <v>5767</v>
      </c>
      <c r="E88" s="185">
        <v>2913.4</v>
      </c>
      <c r="F88" s="185">
        <v>2903.1</v>
      </c>
      <c r="G88" s="337">
        <f t="shared" si="2"/>
        <v>99.64646117937804</v>
      </c>
    </row>
    <row r="89" spans="1:7" s="215" customFormat="1" ht="15.75" hidden="1">
      <c r="A89" s="150"/>
      <c r="B89" s="235"/>
      <c r="C89" s="253"/>
      <c r="D89" s="185"/>
      <c r="E89" s="185"/>
      <c r="F89" s="185"/>
      <c r="G89" s="337" t="e">
        <f t="shared" si="2"/>
        <v>#DIV/0!</v>
      </c>
    </row>
    <row r="90" spans="1:7" s="215" customFormat="1" ht="15.75" hidden="1">
      <c r="A90" s="150"/>
      <c r="B90" s="235"/>
      <c r="C90" s="186"/>
      <c r="D90" s="185"/>
      <c r="E90" s="185"/>
      <c r="F90" s="185"/>
      <c r="G90" s="337" t="e">
        <f t="shared" si="2"/>
        <v>#DIV/0!</v>
      </c>
    </row>
    <row r="91" spans="1:7" s="215" customFormat="1" ht="15.75" hidden="1">
      <c r="A91" s="150"/>
      <c r="B91" s="235"/>
      <c r="C91" s="186"/>
      <c r="D91" s="185"/>
      <c r="E91" s="185"/>
      <c r="F91" s="185"/>
      <c r="G91" s="337" t="e">
        <f t="shared" si="2"/>
        <v>#DIV/0!</v>
      </c>
    </row>
    <row r="92" spans="1:7" s="215" customFormat="1" ht="15.75" hidden="1">
      <c r="A92" s="150"/>
      <c r="B92" s="235"/>
      <c r="C92" s="186"/>
      <c r="D92" s="185"/>
      <c r="E92" s="185"/>
      <c r="F92" s="185"/>
      <c r="G92" s="337" t="e">
        <f t="shared" si="2"/>
        <v>#DIV/0!</v>
      </c>
    </row>
    <row r="93" spans="1:7" s="215" customFormat="1" ht="15.75" hidden="1">
      <c r="A93" s="150"/>
      <c r="B93" s="235"/>
      <c r="C93" s="186"/>
      <c r="D93" s="185"/>
      <c r="E93" s="185"/>
      <c r="F93" s="185"/>
      <c r="G93" s="337" t="e">
        <f t="shared" si="2"/>
        <v>#DIV/0!</v>
      </c>
    </row>
    <row r="94" spans="1:7" s="215" customFormat="1" ht="15.75" customHeight="1" hidden="1">
      <c r="A94" s="150"/>
      <c r="B94" s="235"/>
      <c r="C94" s="255"/>
      <c r="D94" s="185"/>
      <c r="E94" s="185"/>
      <c r="F94" s="185"/>
      <c r="G94" s="337" t="e">
        <f t="shared" si="2"/>
        <v>#DIV/0!</v>
      </c>
    </row>
    <row r="95" spans="1:7" s="215" customFormat="1" ht="15.75">
      <c r="A95" s="150">
        <v>1064000000</v>
      </c>
      <c r="B95" s="235">
        <v>2212</v>
      </c>
      <c r="C95" s="186" t="s">
        <v>428</v>
      </c>
      <c r="D95" s="185">
        <v>0</v>
      </c>
      <c r="E95" s="185">
        <v>2544</v>
      </c>
      <c r="F95" s="185">
        <v>2379.5</v>
      </c>
      <c r="G95" s="337">
        <f t="shared" si="2"/>
        <v>93.53380503144653</v>
      </c>
    </row>
    <row r="96" spans="1:7" s="215" customFormat="1" ht="15.75">
      <c r="A96" s="150">
        <v>1068000000</v>
      </c>
      <c r="B96" s="235">
        <v>2212</v>
      </c>
      <c r="C96" s="186" t="s">
        <v>429</v>
      </c>
      <c r="D96" s="185">
        <v>0</v>
      </c>
      <c r="E96" s="185">
        <v>50</v>
      </c>
      <c r="F96" s="185">
        <v>0</v>
      </c>
      <c r="G96" s="337">
        <f t="shared" si="2"/>
        <v>0</v>
      </c>
    </row>
    <row r="97" spans="1:7" s="215" customFormat="1" ht="15.75">
      <c r="A97" s="150">
        <v>1059000000</v>
      </c>
      <c r="B97" s="235">
        <v>2212</v>
      </c>
      <c r="C97" s="186" t="s">
        <v>430</v>
      </c>
      <c r="D97" s="185">
        <v>0</v>
      </c>
      <c r="E97" s="185">
        <v>3000</v>
      </c>
      <c r="F97" s="185">
        <v>62</v>
      </c>
      <c r="G97" s="337">
        <f t="shared" si="2"/>
        <v>2.0666666666666664</v>
      </c>
    </row>
    <row r="98" spans="1:7" s="215" customFormat="1" ht="15.75">
      <c r="A98" s="150">
        <v>1006010023</v>
      </c>
      <c r="B98" s="235">
        <v>2219</v>
      </c>
      <c r="C98" s="186" t="s">
        <v>431</v>
      </c>
      <c r="D98" s="185">
        <v>0</v>
      </c>
      <c r="E98" s="185">
        <v>3887.3</v>
      </c>
      <c r="F98" s="185">
        <v>96.8</v>
      </c>
      <c r="G98" s="337">
        <f t="shared" si="2"/>
        <v>2.490160265479896</v>
      </c>
    </row>
    <row r="99" spans="1:7" s="215" customFormat="1" ht="15.75">
      <c r="A99" s="150">
        <v>1026000000</v>
      </c>
      <c r="B99" s="235">
        <v>2219</v>
      </c>
      <c r="C99" s="186" t="s">
        <v>432</v>
      </c>
      <c r="D99" s="185">
        <v>0</v>
      </c>
      <c r="E99" s="185">
        <v>523</v>
      </c>
      <c r="F99" s="185">
        <v>518.5</v>
      </c>
      <c r="G99" s="337">
        <f t="shared" si="2"/>
        <v>99.1395793499044</v>
      </c>
    </row>
    <row r="100" spans="1:7" s="215" customFormat="1" ht="15.75" customHeight="1">
      <c r="A100" s="150">
        <v>1033000000</v>
      </c>
      <c r="B100" s="235">
        <v>2219</v>
      </c>
      <c r="C100" s="255" t="s">
        <v>433</v>
      </c>
      <c r="D100" s="185">
        <v>0</v>
      </c>
      <c r="E100" s="185">
        <v>154.1</v>
      </c>
      <c r="F100" s="185">
        <v>154.1</v>
      </c>
      <c r="G100" s="337">
        <f t="shared" si="2"/>
        <v>100</v>
      </c>
    </row>
    <row r="101" spans="1:7" s="215" customFormat="1" ht="15.75" customHeight="1">
      <c r="A101" s="150">
        <v>1037000000</v>
      </c>
      <c r="B101" s="235">
        <v>2219</v>
      </c>
      <c r="C101" s="255" t="s">
        <v>434</v>
      </c>
      <c r="D101" s="185">
        <v>992</v>
      </c>
      <c r="E101" s="185">
        <v>1808</v>
      </c>
      <c r="F101" s="185">
        <v>321.6</v>
      </c>
      <c r="G101" s="337">
        <f t="shared" si="2"/>
        <v>17.787610619469028</v>
      </c>
    </row>
    <row r="102" spans="1:7" s="215" customFormat="1" ht="15.75" customHeight="1">
      <c r="A102" s="150">
        <v>1043000000</v>
      </c>
      <c r="B102" s="235">
        <v>2219</v>
      </c>
      <c r="C102" s="255" t="s">
        <v>435</v>
      </c>
      <c r="D102" s="185">
        <v>1036</v>
      </c>
      <c r="E102" s="185">
        <v>1036</v>
      </c>
      <c r="F102" s="185">
        <v>49.2</v>
      </c>
      <c r="G102" s="337">
        <f t="shared" si="2"/>
        <v>4.74903474903475</v>
      </c>
    </row>
    <row r="103" spans="1:7" s="215" customFormat="1" ht="15.75">
      <c r="A103" s="150">
        <v>1044000000</v>
      </c>
      <c r="B103" s="235">
        <v>2219</v>
      </c>
      <c r="C103" s="186" t="s">
        <v>436</v>
      </c>
      <c r="D103" s="185">
        <v>3000</v>
      </c>
      <c r="E103" s="185">
        <v>3000</v>
      </c>
      <c r="F103" s="185">
        <v>0</v>
      </c>
      <c r="G103" s="337">
        <f t="shared" si="2"/>
        <v>0</v>
      </c>
    </row>
    <row r="104" spans="1:7" s="215" customFormat="1" ht="15.75">
      <c r="A104" s="150">
        <v>1051000000</v>
      </c>
      <c r="B104" s="235">
        <v>2219</v>
      </c>
      <c r="C104" s="186" t="s">
        <v>437</v>
      </c>
      <c r="D104" s="185">
        <v>2000</v>
      </c>
      <c r="E104" s="185">
        <v>2000</v>
      </c>
      <c r="F104" s="185">
        <v>48</v>
      </c>
      <c r="G104" s="337">
        <f t="shared" si="2"/>
        <v>2.4</v>
      </c>
    </row>
    <row r="105" spans="1:7" s="215" customFormat="1" ht="15.75" customHeight="1">
      <c r="A105" s="150">
        <v>1052000000</v>
      </c>
      <c r="B105" s="235">
        <v>2219</v>
      </c>
      <c r="C105" s="255" t="s">
        <v>438</v>
      </c>
      <c r="D105" s="185">
        <v>811</v>
      </c>
      <c r="E105" s="185">
        <v>811</v>
      </c>
      <c r="F105" s="185">
        <v>46.9</v>
      </c>
      <c r="G105" s="337">
        <f t="shared" si="2"/>
        <v>5.782983970406905</v>
      </c>
    </row>
    <row r="106" spans="1:7" s="215" customFormat="1" ht="15.75">
      <c r="A106" s="150">
        <v>1054000000</v>
      </c>
      <c r="B106" s="235">
        <v>2219</v>
      </c>
      <c r="C106" s="186" t="s">
        <v>439</v>
      </c>
      <c r="D106" s="185">
        <v>0</v>
      </c>
      <c r="E106" s="185">
        <v>4737.8</v>
      </c>
      <c r="F106" s="185">
        <v>4573.9</v>
      </c>
      <c r="G106" s="337">
        <f t="shared" si="2"/>
        <v>96.54058845877832</v>
      </c>
    </row>
    <row r="107" spans="1:7" s="215" customFormat="1" ht="15.75">
      <c r="A107" s="150">
        <v>1058000000</v>
      </c>
      <c r="B107" s="235">
        <v>2219</v>
      </c>
      <c r="C107" s="186" t="s">
        <v>440</v>
      </c>
      <c r="D107" s="185">
        <v>0</v>
      </c>
      <c r="E107" s="185">
        <v>853</v>
      </c>
      <c r="F107" s="185">
        <v>3</v>
      </c>
      <c r="G107" s="337">
        <f t="shared" si="2"/>
        <v>0.3516998827667058</v>
      </c>
    </row>
    <row r="108" spans="1:7" s="215" customFormat="1" ht="15.75">
      <c r="A108" s="150">
        <v>1061000000</v>
      </c>
      <c r="B108" s="235">
        <v>2219</v>
      </c>
      <c r="C108" s="186" t="s">
        <v>441</v>
      </c>
      <c r="D108" s="185">
        <v>0</v>
      </c>
      <c r="E108" s="185">
        <f>3800+2320.7</f>
        <v>6120.7</v>
      </c>
      <c r="F108" s="185">
        <v>3585.4</v>
      </c>
      <c r="G108" s="337">
        <f t="shared" si="2"/>
        <v>58.57826719166109</v>
      </c>
    </row>
    <row r="109" spans="1:9" s="215" customFormat="1" ht="15.75">
      <c r="A109" s="150">
        <v>1045000000</v>
      </c>
      <c r="B109" s="235">
        <v>2219</v>
      </c>
      <c r="C109" s="186" t="s">
        <v>442</v>
      </c>
      <c r="D109" s="185">
        <v>2500</v>
      </c>
      <c r="E109" s="185">
        <v>429</v>
      </c>
      <c r="F109" s="185">
        <v>63.5</v>
      </c>
      <c r="G109" s="337">
        <f t="shared" si="2"/>
        <v>14.801864801864802</v>
      </c>
      <c r="I109" s="254"/>
    </row>
    <row r="110" spans="1:7" s="215" customFormat="1" ht="15.75">
      <c r="A110" s="135">
        <v>1003071007</v>
      </c>
      <c r="B110" s="256">
        <v>2221</v>
      </c>
      <c r="C110" s="156" t="s">
        <v>443</v>
      </c>
      <c r="D110" s="185">
        <v>41700</v>
      </c>
      <c r="E110" s="185">
        <v>18904</v>
      </c>
      <c r="F110" s="185">
        <v>14741.5</v>
      </c>
      <c r="G110" s="337">
        <f t="shared" si="2"/>
        <v>77.98085061362676</v>
      </c>
    </row>
    <row r="111" spans="1:7" s="215" customFormat="1" ht="15.75">
      <c r="A111" s="150">
        <v>1039000000</v>
      </c>
      <c r="B111" s="235">
        <v>2221</v>
      </c>
      <c r="C111" s="186" t="s">
        <v>444</v>
      </c>
      <c r="D111" s="185">
        <v>23650</v>
      </c>
      <c r="E111" s="185">
        <v>16956.3</v>
      </c>
      <c r="F111" s="185">
        <v>8942.1</v>
      </c>
      <c r="G111" s="337">
        <f t="shared" si="2"/>
        <v>52.7361511650537</v>
      </c>
    </row>
    <row r="112" spans="1:7" s="215" customFormat="1" ht="15.75">
      <c r="A112" s="150">
        <v>1036000000</v>
      </c>
      <c r="B112" s="235">
        <v>2331</v>
      </c>
      <c r="C112" s="186" t="s">
        <v>445</v>
      </c>
      <c r="D112" s="185">
        <v>727</v>
      </c>
      <c r="E112" s="185">
        <v>601.1</v>
      </c>
      <c r="F112" s="185">
        <v>588.4</v>
      </c>
      <c r="G112" s="337">
        <f t="shared" si="2"/>
        <v>97.88720678755614</v>
      </c>
    </row>
    <row r="113" spans="1:7" s="215" customFormat="1" ht="15.75">
      <c r="A113" s="150">
        <v>1046000000</v>
      </c>
      <c r="B113" s="235">
        <v>3111</v>
      </c>
      <c r="C113" s="186" t="s">
        <v>446</v>
      </c>
      <c r="D113" s="185">
        <v>1831</v>
      </c>
      <c r="E113" s="185">
        <v>898</v>
      </c>
      <c r="F113" s="185">
        <v>83.7</v>
      </c>
      <c r="G113" s="337">
        <f t="shared" si="2"/>
        <v>9.320712694877505</v>
      </c>
    </row>
    <row r="114" spans="1:7" s="215" customFormat="1" ht="15.75">
      <c r="A114" s="150">
        <v>1047000000</v>
      </c>
      <c r="B114" s="235">
        <v>3111</v>
      </c>
      <c r="C114" s="186" t="s">
        <v>447</v>
      </c>
      <c r="D114" s="185">
        <v>8490</v>
      </c>
      <c r="E114" s="185">
        <v>5357</v>
      </c>
      <c r="F114" s="185">
        <v>106.4</v>
      </c>
      <c r="G114" s="337">
        <f t="shared" si="2"/>
        <v>1.9861862983012881</v>
      </c>
    </row>
    <row r="115" spans="1:7" s="215" customFormat="1" ht="15.75">
      <c r="A115" s="150">
        <v>1056000000</v>
      </c>
      <c r="B115" s="235">
        <v>3111</v>
      </c>
      <c r="C115" s="186" t="s">
        <v>448</v>
      </c>
      <c r="D115" s="185">
        <v>0</v>
      </c>
      <c r="E115" s="185">
        <v>4539.2</v>
      </c>
      <c r="F115" s="185">
        <v>2652.1</v>
      </c>
      <c r="G115" s="337">
        <f t="shared" si="2"/>
        <v>58.42659499471272</v>
      </c>
    </row>
    <row r="116" spans="1:7" s="215" customFormat="1" ht="15.75">
      <c r="A116" s="150">
        <v>1057000000</v>
      </c>
      <c r="B116" s="235">
        <v>3111</v>
      </c>
      <c r="C116" s="186" t="s">
        <v>449</v>
      </c>
      <c r="D116" s="185">
        <v>0</v>
      </c>
      <c r="E116" s="185">
        <v>1930</v>
      </c>
      <c r="F116" s="185">
        <v>1753.3</v>
      </c>
      <c r="G116" s="337">
        <f t="shared" si="2"/>
        <v>90.84455958549222</v>
      </c>
    </row>
    <row r="117" spans="1:7" s="215" customFormat="1" ht="15.75">
      <c r="A117" s="150">
        <v>1075000000</v>
      </c>
      <c r="B117" s="235">
        <v>3111</v>
      </c>
      <c r="C117" s="186" t="s">
        <v>450</v>
      </c>
      <c r="D117" s="185">
        <v>0</v>
      </c>
      <c r="E117" s="185">
        <v>157.6</v>
      </c>
      <c r="F117" s="185">
        <v>141.8</v>
      </c>
      <c r="G117" s="337">
        <f t="shared" si="2"/>
        <v>89.97461928934011</v>
      </c>
    </row>
    <row r="118" spans="1:7" s="215" customFormat="1" ht="15.75">
      <c r="A118" s="150">
        <v>1048000000</v>
      </c>
      <c r="B118" s="235">
        <v>3113</v>
      </c>
      <c r="C118" s="186" t="s">
        <v>451</v>
      </c>
      <c r="D118" s="185">
        <v>11824</v>
      </c>
      <c r="E118" s="185">
        <v>6039</v>
      </c>
      <c r="F118" s="185">
        <v>123.9</v>
      </c>
      <c r="G118" s="337">
        <f t="shared" si="2"/>
        <v>2.051664182811724</v>
      </c>
    </row>
    <row r="119" spans="1:7" s="215" customFormat="1" ht="15.75">
      <c r="A119" s="150">
        <v>1055000000</v>
      </c>
      <c r="B119" s="235">
        <v>3113</v>
      </c>
      <c r="C119" s="186" t="s">
        <v>452</v>
      </c>
      <c r="D119" s="185">
        <v>0</v>
      </c>
      <c r="E119" s="185">
        <v>4079.2</v>
      </c>
      <c r="F119" s="185">
        <v>2557.1</v>
      </c>
      <c r="G119" s="337">
        <f aca="true" t="shared" si="3" ref="G119:G142">(F119/E119)*100</f>
        <v>62.68631104138066</v>
      </c>
    </row>
    <row r="120" spans="1:7" s="215" customFormat="1" ht="15.75">
      <c r="A120" s="135">
        <v>1017000000</v>
      </c>
      <c r="B120" s="256">
        <v>3313</v>
      </c>
      <c r="C120" s="156" t="s">
        <v>453</v>
      </c>
      <c r="D120" s="185">
        <v>400</v>
      </c>
      <c r="E120" s="185">
        <v>400</v>
      </c>
      <c r="F120" s="185">
        <v>0</v>
      </c>
      <c r="G120" s="337">
        <f t="shared" si="3"/>
        <v>0</v>
      </c>
    </row>
    <row r="121" spans="1:7" s="215" customFormat="1" ht="15.75">
      <c r="A121" s="135">
        <v>1063000000</v>
      </c>
      <c r="B121" s="256">
        <v>3421</v>
      </c>
      <c r="C121" s="156" t="s">
        <v>454</v>
      </c>
      <c r="D121" s="185">
        <v>0</v>
      </c>
      <c r="E121" s="185">
        <v>319.9</v>
      </c>
      <c r="F121" s="185">
        <v>0</v>
      </c>
      <c r="G121" s="337">
        <f t="shared" si="3"/>
        <v>0</v>
      </c>
    </row>
    <row r="122" spans="1:7" s="215" customFormat="1" ht="15.75">
      <c r="A122" s="135">
        <v>1080000000</v>
      </c>
      <c r="B122" s="256">
        <v>3421</v>
      </c>
      <c r="C122" s="156" t="s">
        <v>455</v>
      </c>
      <c r="D122" s="185">
        <v>0</v>
      </c>
      <c r="E122" s="185">
        <v>1396.6</v>
      </c>
      <c r="F122" s="185">
        <v>529.3</v>
      </c>
      <c r="G122" s="337">
        <f t="shared" si="3"/>
        <v>37.899183731920374</v>
      </c>
    </row>
    <row r="123" spans="1:7" s="215" customFormat="1" ht="15.75">
      <c r="A123" s="135">
        <v>1073000000</v>
      </c>
      <c r="B123" s="256">
        <v>3613</v>
      </c>
      <c r="C123" s="156" t="s">
        <v>456</v>
      </c>
      <c r="D123" s="185">
        <v>0</v>
      </c>
      <c r="E123" s="185">
        <v>1090</v>
      </c>
      <c r="F123" s="185">
        <v>53.2</v>
      </c>
      <c r="G123" s="337">
        <f t="shared" si="3"/>
        <v>4.8807339449541285</v>
      </c>
    </row>
    <row r="124" spans="1:7" s="215" customFormat="1" ht="15.75">
      <c r="A124" s="135">
        <v>1074000000</v>
      </c>
      <c r="B124" s="256">
        <v>3613</v>
      </c>
      <c r="C124" s="156" t="s">
        <v>457</v>
      </c>
      <c r="D124" s="185">
        <v>0</v>
      </c>
      <c r="E124" s="185">
        <v>490</v>
      </c>
      <c r="F124" s="185">
        <v>45</v>
      </c>
      <c r="G124" s="337">
        <f t="shared" si="3"/>
        <v>9.183673469387756</v>
      </c>
    </row>
    <row r="125" spans="1:7" s="215" customFormat="1" ht="15.75">
      <c r="A125" s="150">
        <v>1049000000</v>
      </c>
      <c r="B125" s="235">
        <v>3632</v>
      </c>
      <c r="C125" s="186" t="s">
        <v>458</v>
      </c>
      <c r="D125" s="185">
        <v>600</v>
      </c>
      <c r="E125" s="185">
        <v>600</v>
      </c>
      <c r="F125" s="185">
        <v>0</v>
      </c>
      <c r="G125" s="337">
        <f t="shared" si="3"/>
        <v>0</v>
      </c>
    </row>
    <row r="126" spans="1:7" s="215" customFormat="1" ht="15.75">
      <c r="A126" s="150">
        <v>1016092001</v>
      </c>
      <c r="B126" s="235">
        <v>3635</v>
      </c>
      <c r="C126" s="186" t="s">
        <v>459</v>
      </c>
      <c r="D126" s="185">
        <v>1405</v>
      </c>
      <c r="E126" s="185">
        <v>1405</v>
      </c>
      <c r="F126" s="185">
        <v>131.9</v>
      </c>
      <c r="G126" s="337">
        <f t="shared" si="3"/>
        <v>9.387900355871887</v>
      </c>
    </row>
    <row r="127" spans="1:7" s="215" customFormat="1" ht="15.75">
      <c r="A127" s="150">
        <v>1060000000</v>
      </c>
      <c r="B127" s="235">
        <v>3726</v>
      </c>
      <c r="C127" s="186" t="s">
        <v>460</v>
      </c>
      <c r="D127" s="185">
        <v>0</v>
      </c>
      <c r="E127" s="185">
        <v>2013.8</v>
      </c>
      <c r="F127" s="185">
        <v>1988.2</v>
      </c>
      <c r="G127" s="337">
        <f t="shared" si="3"/>
        <v>98.72877147681002</v>
      </c>
    </row>
    <row r="128" spans="1:7" s="215" customFormat="1" ht="15.75">
      <c r="A128" s="150">
        <v>1066000000</v>
      </c>
      <c r="B128" s="235">
        <v>3745</v>
      </c>
      <c r="C128" s="186" t="s">
        <v>461</v>
      </c>
      <c r="D128" s="185">
        <v>0</v>
      </c>
      <c r="E128" s="185">
        <v>58.7</v>
      </c>
      <c r="F128" s="185">
        <v>58.7</v>
      </c>
      <c r="G128" s="337">
        <f t="shared" si="3"/>
        <v>100</v>
      </c>
    </row>
    <row r="129" spans="1:7" s="215" customFormat="1" ht="15.75">
      <c r="A129" s="150">
        <v>1069000000</v>
      </c>
      <c r="B129" s="235">
        <v>3745</v>
      </c>
      <c r="C129" s="186" t="s">
        <v>462</v>
      </c>
      <c r="D129" s="185">
        <v>0</v>
      </c>
      <c r="E129" s="185">
        <v>597</v>
      </c>
      <c r="F129" s="185">
        <v>5.4</v>
      </c>
      <c r="G129" s="337">
        <f t="shared" si="3"/>
        <v>0.9045226130653268</v>
      </c>
    </row>
    <row r="130" spans="1:7" s="215" customFormat="1" ht="15.75">
      <c r="A130" s="150">
        <v>1070000000</v>
      </c>
      <c r="B130" s="235">
        <v>3745</v>
      </c>
      <c r="C130" s="186" t="s">
        <v>463</v>
      </c>
      <c r="D130" s="185">
        <v>0</v>
      </c>
      <c r="E130" s="185">
        <v>50</v>
      </c>
      <c r="F130" s="185">
        <v>0</v>
      </c>
      <c r="G130" s="337">
        <f t="shared" si="3"/>
        <v>0</v>
      </c>
    </row>
    <row r="131" spans="1:7" s="215" customFormat="1" ht="15.75">
      <c r="A131" s="150">
        <v>1071000000</v>
      </c>
      <c r="B131" s="235">
        <v>3745</v>
      </c>
      <c r="C131" s="186" t="s">
        <v>464</v>
      </c>
      <c r="D131" s="185">
        <v>0</v>
      </c>
      <c r="E131" s="185">
        <v>100</v>
      </c>
      <c r="F131" s="185">
        <v>0</v>
      </c>
      <c r="G131" s="337">
        <f t="shared" si="3"/>
        <v>0</v>
      </c>
    </row>
    <row r="132" spans="1:7" s="215" customFormat="1" ht="15.75">
      <c r="A132" s="150">
        <v>1072000000</v>
      </c>
      <c r="B132" s="235">
        <v>2219.3745</v>
      </c>
      <c r="C132" s="186" t="s">
        <v>465</v>
      </c>
      <c r="D132" s="185">
        <v>0</v>
      </c>
      <c r="E132" s="185">
        <v>100.9</v>
      </c>
      <c r="F132" s="185">
        <v>100.8</v>
      </c>
      <c r="G132" s="337">
        <f t="shared" si="3"/>
        <v>99.90089197224974</v>
      </c>
    </row>
    <row r="133" spans="1:7" s="215" customFormat="1" ht="15.75">
      <c r="A133" s="150">
        <v>1040000000</v>
      </c>
      <c r="B133" s="235">
        <v>4349</v>
      </c>
      <c r="C133" s="186" t="s">
        <v>466</v>
      </c>
      <c r="D133" s="185">
        <v>0</v>
      </c>
      <c r="E133" s="185">
        <v>116.9</v>
      </c>
      <c r="F133" s="185">
        <v>116.9</v>
      </c>
      <c r="G133" s="337">
        <f t="shared" si="3"/>
        <v>100</v>
      </c>
    </row>
    <row r="134" spans="1:7" s="215" customFormat="1" ht="15.75">
      <c r="A134" s="150">
        <v>1041000000</v>
      </c>
      <c r="B134" s="235">
        <v>4349</v>
      </c>
      <c r="C134" s="186" t="s">
        <v>467</v>
      </c>
      <c r="D134" s="185">
        <v>0</v>
      </c>
      <c r="E134" s="185">
        <v>400</v>
      </c>
      <c r="F134" s="185">
        <v>367.4</v>
      </c>
      <c r="G134" s="337">
        <f t="shared" si="3"/>
        <v>91.85</v>
      </c>
    </row>
    <row r="135" spans="1:7" s="215" customFormat="1" ht="15.75">
      <c r="A135" s="150">
        <v>1053000000</v>
      </c>
      <c r="B135" s="235">
        <v>4349</v>
      </c>
      <c r="C135" s="186" t="s">
        <v>468</v>
      </c>
      <c r="D135" s="185">
        <v>0</v>
      </c>
      <c r="E135" s="185">
        <v>808</v>
      </c>
      <c r="F135" s="185">
        <v>807.6</v>
      </c>
      <c r="G135" s="337">
        <f t="shared" si="3"/>
        <v>99.95049504950495</v>
      </c>
    </row>
    <row r="136" spans="1:7" s="215" customFormat="1" ht="15.75">
      <c r="A136" s="150">
        <v>1001081012</v>
      </c>
      <c r="B136" s="235">
        <v>4357</v>
      </c>
      <c r="C136" s="186" t="s">
        <v>469</v>
      </c>
      <c r="D136" s="185">
        <v>500</v>
      </c>
      <c r="E136" s="185">
        <v>500</v>
      </c>
      <c r="F136" s="185">
        <v>492.5</v>
      </c>
      <c r="G136" s="337">
        <f t="shared" si="3"/>
        <v>98.5</v>
      </c>
    </row>
    <row r="137" spans="1:82" s="209" customFormat="1" ht="15">
      <c r="A137" s="257">
        <v>1065000000</v>
      </c>
      <c r="B137" s="258">
        <v>4357</v>
      </c>
      <c r="C137" s="257" t="s">
        <v>470</v>
      </c>
      <c r="D137" s="185">
        <v>0</v>
      </c>
      <c r="E137" s="185">
        <v>840</v>
      </c>
      <c r="F137" s="185">
        <v>840</v>
      </c>
      <c r="G137" s="337">
        <f t="shared" si="3"/>
        <v>100</v>
      </c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  <c r="BZ137" s="210"/>
      <c r="CA137" s="210"/>
      <c r="CB137" s="210"/>
      <c r="CC137" s="210"/>
      <c r="CD137" s="210"/>
    </row>
    <row r="138" spans="1:7" s="215" customFormat="1" ht="15.75">
      <c r="A138" s="150">
        <v>1008010025</v>
      </c>
      <c r="B138" s="235">
        <v>4374</v>
      </c>
      <c r="C138" s="186" t="s">
        <v>471</v>
      </c>
      <c r="D138" s="185">
        <v>500</v>
      </c>
      <c r="E138" s="185">
        <v>500</v>
      </c>
      <c r="F138" s="185">
        <v>70.8</v>
      </c>
      <c r="G138" s="337">
        <f t="shared" si="3"/>
        <v>14.16</v>
      </c>
    </row>
    <row r="139" spans="1:7" s="215" customFormat="1" ht="15.75">
      <c r="A139" s="150">
        <v>1050000000</v>
      </c>
      <c r="B139" s="235">
        <v>6171</v>
      </c>
      <c r="C139" s="186" t="s">
        <v>472</v>
      </c>
      <c r="D139" s="185">
        <v>2700</v>
      </c>
      <c r="E139" s="185">
        <v>2236.9</v>
      </c>
      <c r="F139" s="185">
        <v>2236.9</v>
      </c>
      <c r="G139" s="337">
        <f t="shared" si="3"/>
        <v>100</v>
      </c>
    </row>
    <row r="140" spans="1:7" s="215" customFormat="1" ht="15.75">
      <c r="A140" s="150"/>
      <c r="B140" s="235"/>
      <c r="C140" s="186"/>
      <c r="D140" s="185"/>
      <c r="E140" s="185"/>
      <c r="F140" s="185"/>
      <c r="G140" s="337" t="e">
        <f t="shared" si="3"/>
        <v>#DIV/0!</v>
      </c>
    </row>
    <row r="141" spans="1:7" s="221" customFormat="1" ht="16.5" customHeight="1">
      <c r="A141" s="169"/>
      <c r="B141" s="259"/>
      <c r="C141" s="168" t="s">
        <v>473</v>
      </c>
      <c r="D141" s="260">
        <f>SUM(D87:D140)</f>
        <v>116933</v>
      </c>
      <c r="E141" s="260">
        <f>SUM(E87:E140)</f>
        <v>113239.59999999999</v>
      </c>
      <c r="F141" s="260">
        <f>SUM(F87:F140)</f>
        <v>58849.90000000001</v>
      </c>
      <c r="G141" s="337">
        <f t="shared" si="3"/>
        <v>51.969364074051846</v>
      </c>
    </row>
    <row r="142" spans="1:7" s="221" customFormat="1" ht="16.5" customHeight="1" hidden="1">
      <c r="A142" s="169"/>
      <c r="B142" s="259"/>
      <c r="C142" s="168" t="s">
        <v>474</v>
      </c>
      <c r="D142" s="260" t="e">
        <f>SUM(#REF!+#REF!+#REF!+#REF!)</f>
        <v>#REF!</v>
      </c>
      <c r="E142" s="260" t="e">
        <f>SUM(#REF!+92+#REF!+#REF!)</f>
        <v>#REF!</v>
      </c>
      <c r="F142" s="260" t="e">
        <f>SUM(#REF!+#REF!+#REF!+#REF!)</f>
        <v>#REF!</v>
      </c>
      <c r="G142" s="337" t="e">
        <f t="shared" si="3"/>
        <v>#REF!</v>
      </c>
    </row>
    <row r="143" spans="1:7" s="215" customFormat="1" ht="15.75" customHeight="1" thickBot="1">
      <c r="A143" s="150"/>
      <c r="B143" s="235"/>
      <c r="C143" s="186"/>
      <c r="D143" s="185"/>
      <c r="E143" s="185"/>
      <c r="F143" s="185"/>
      <c r="G143" s="337"/>
    </row>
    <row r="144" spans="1:7" s="215" customFormat="1" ht="12.75" customHeight="1" hidden="1" thickBot="1">
      <c r="A144" s="261"/>
      <c r="B144" s="262"/>
      <c r="C144" s="263"/>
      <c r="D144" s="264"/>
      <c r="E144" s="264"/>
      <c r="F144" s="264"/>
      <c r="G144" s="342"/>
    </row>
    <row r="145" spans="1:7" s="210" customFormat="1" ht="18.75" customHeight="1" thickBot="1" thickTop="1">
      <c r="A145" s="265"/>
      <c r="B145" s="242"/>
      <c r="C145" s="266" t="s">
        <v>475</v>
      </c>
      <c r="D145" s="244">
        <f>SUM(D85,D141)</f>
        <v>188459</v>
      </c>
      <c r="E145" s="244">
        <f>SUM(E85,E141)</f>
        <v>200961.59999999998</v>
      </c>
      <c r="F145" s="244">
        <f>SUM(F85,F141)</f>
        <v>137771.90000000002</v>
      </c>
      <c r="G145" s="339">
        <f>(F145/E145)*100</f>
        <v>68.55633115978378</v>
      </c>
    </row>
    <row r="146" spans="1:7" s="210" customFormat="1" ht="18.75" customHeight="1">
      <c r="A146" s="209"/>
      <c r="B146" s="212"/>
      <c r="C146" s="245"/>
      <c r="D146" s="247"/>
      <c r="E146" s="247"/>
      <c r="F146" s="247"/>
      <c r="G146" s="340"/>
    </row>
    <row r="147" spans="1:7" s="215" customFormat="1" ht="16.5" customHeight="1">
      <c r="A147" s="245"/>
      <c r="B147" s="267"/>
      <c r="C147" s="245"/>
      <c r="D147" s="247"/>
      <c r="E147" s="268"/>
      <c r="F147" s="219"/>
      <c r="G147" s="330"/>
    </row>
    <row r="148" spans="1:7" s="210" customFormat="1" ht="12.75" customHeight="1" hidden="1">
      <c r="A148" s="209"/>
      <c r="B148" s="212"/>
      <c r="C148" s="245"/>
      <c r="D148" s="247"/>
      <c r="E148" s="247"/>
      <c r="F148" s="247"/>
      <c r="G148" s="340"/>
    </row>
    <row r="149" spans="1:7" s="210" customFormat="1" ht="12.75" customHeight="1" hidden="1">
      <c r="A149" s="209"/>
      <c r="B149" s="212"/>
      <c r="C149" s="245"/>
      <c r="D149" s="247"/>
      <c r="E149" s="247"/>
      <c r="F149" s="247"/>
      <c r="G149" s="340"/>
    </row>
    <row r="150" spans="1:7" s="210" customFormat="1" ht="12.75" customHeight="1" hidden="1">
      <c r="A150" s="209"/>
      <c r="B150" s="212"/>
      <c r="C150" s="245"/>
      <c r="D150" s="247"/>
      <c r="E150" s="247"/>
      <c r="F150" s="247"/>
      <c r="G150" s="340"/>
    </row>
    <row r="151" spans="1:7" s="210" customFormat="1" ht="12.75" customHeight="1" hidden="1">
      <c r="A151" s="209"/>
      <c r="B151" s="212"/>
      <c r="C151" s="245"/>
      <c r="D151" s="247"/>
      <c r="E151" s="247"/>
      <c r="F151" s="247"/>
      <c r="G151" s="340"/>
    </row>
    <row r="152" spans="1:7" s="210" customFormat="1" ht="12.75" customHeight="1" hidden="1">
      <c r="A152" s="209"/>
      <c r="B152" s="212"/>
      <c r="C152" s="245"/>
      <c r="D152" s="247"/>
      <c r="E152" s="247"/>
      <c r="F152" s="247"/>
      <c r="G152" s="340"/>
    </row>
    <row r="153" spans="1:7" s="210" customFormat="1" ht="12.75" customHeight="1" hidden="1">
      <c r="A153" s="209"/>
      <c r="B153" s="212"/>
      <c r="C153" s="245"/>
      <c r="D153" s="247"/>
      <c r="E153" s="247"/>
      <c r="F153" s="247"/>
      <c r="G153" s="340"/>
    </row>
    <row r="154" spans="1:7" s="210" customFormat="1" ht="15.75" customHeight="1" thickBot="1">
      <c r="A154" s="209"/>
      <c r="B154" s="212"/>
      <c r="C154" s="245"/>
      <c r="D154" s="247"/>
      <c r="E154" s="226"/>
      <c r="F154" s="226"/>
      <c r="G154" s="332"/>
    </row>
    <row r="155" spans="1:7" s="210" customFormat="1" ht="15.75">
      <c r="A155" s="321" t="s">
        <v>76</v>
      </c>
      <c r="B155" s="322" t="s">
        <v>77</v>
      </c>
      <c r="C155" s="321" t="s">
        <v>79</v>
      </c>
      <c r="D155" s="321" t="s">
        <v>26</v>
      </c>
      <c r="E155" s="321" t="s">
        <v>26</v>
      </c>
      <c r="F155" s="313" t="s">
        <v>8</v>
      </c>
      <c r="G155" s="334" t="s">
        <v>360</v>
      </c>
    </row>
    <row r="156" spans="1:7" s="210" customFormat="1" ht="15.75" customHeight="1" thickBot="1">
      <c r="A156" s="323"/>
      <c r="B156" s="324"/>
      <c r="C156" s="325"/>
      <c r="D156" s="326" t="s">
        <v>28</v>
      </c>
      <c r="E156" s="326" t="s">
        <v>29</v>
      </c>
      <c r="F156" s="317" t="s">
        <v>30</v>
      </c>
      <c r="G156" s="335" t="s">
        <v>361</v>
      </c>
    </row>
    <row r="157" spans="1:7" s="210" customFormat="1" ht="16.5" customHeight="1" thickTop="1">
      <c r="A157" s="230">
        <v>30</v>
      </c>
      <c r="B157" s="230"/>
      <c r="C157" s="169" t="s">
        <v>181</v>
      </c>
      <c r="D157" s="171"/>
      <c r="E157" s="171"/>
      <c r="F157" s="171"/>
      <c r="G157" s="341"/>
    </row>
    <row r="158" spans="1:7" s="210" customFormat="1" ht="16.5" customHeight="1">
      <c r="A158" s="269">
        <v>31</v>
      </c>
      <c r="B158" s="269"/>
      <c r="C158" s="169"/>
      <c r="D158" s="185"/>
      <c r="E158" s="185"/>
      <c r="F158" s="185"/>
      <c r="G158" s="337"/>
    </row>
    <row r="159" spans="1:7" s="210" customFormat="1" ht="15">
      <c r="A159" s="150"/>
      <c r="B159" s="270">
        <v>3341</v>
      </c>
      <c r="C159" s="209" t="s">
        <v>476</v>
      </c>
      <c r="D159" s="185">
        <v>30</v>
      </c>
      <c r="E159" s="185">
        <v>30</v>
      </c>
      <c r="F159" s="185">
        <v>26.2</v>
      </c>
      <c r="G159" s="337">
        <f aca="true" t="shared" si="4" ref="G159:G169">(F159/E159)*100</f>
        <v>87.33333333333333</v>
      </c>
    </row>
    <row r="160" spans="1:7" s="210" customFormat="1" ht="15.75" customHeight="1">
      <c r="A160" s="150"/>
      <c r="B160" s="270">
        <v>3349</v>
      </c>
      <c r="C160" s="186" t="s">
        <v>477</v>
      </c>
      <c r="D160" s="185">
        <v>735</v>
      </c>
      <c r="E160" s="185">
        <v>735</v>
      </c>
      <c r="F160" s="185">
        <v>680.9</v>
      </c>
      <c r="G160" s="337">
        <f t="shared" si="4"/>
        <v>92.63945578231292</v>
      </c>
    </row>
    <row r="161" spans="1:7" s="210" customFormat="1" ht="15.75" customHeight="1">
      <c r="A161" s="150"/>
      <c r="B161" s="270">
        <v>5212</v>
      </c>
      <c r="C161" s="150" t="s">
        <v>478</v>
      </c>
      <c r="D161" s="271">
        <v>20</v>
      </c>
      <c r="E161" s="271">
        <v>20</v>
      </c>
      <c r="F161" s="185">
        <v>0</v>
      </c>
      <c r="G161" s="337">
        <f t="shared" si="4"/>
        <v>0</v>
      </c>
    </row>
    <row r="162" spans="1:7" s="210" customFormat="1" ht="15.75" customHeight="1">
      <c r="A162" s="150"/>
      <c r="B162" s="270">
        <v>5279</v>
      </c>
      <c r="C162" s="150" t="s">
        <v>479</v>
      </c>
      <c r="D162" s="271">
        <v>50</v>
      </c>
      <c r="E162" s="271">
        <v>50</v>
      </c>
      <c r="F162" s="185">
        <v>0</v>
      </c>
      <c r="G162" s="337">
        <f t="shared" si="4"/>
        <v>0</v>
      </c>
    </row>
    <row r="163" spans="1:7" s="210" customFormat="1" ht="15">
      <c r="A163" s="150"/>
      <c r="B163" s="270">
        <v>5512</v>
      </c>
      <c r="C163" s="209" t="s">
        <v>480</v>
      </c>
      <c r="D163" s="185">
        <v>3838</v>
      </c>
      <c r="E163" s="185">
        <v>11629.4</v>
      </c>
      <c r="F163" s="185">
        <v>10841.4</v>
      </c>
      <c r="G163" s="337">
        <f t="shared" si="4"/>
        <v>93.22407002940822</v>
      </c>
    </row>
    <row r="164" spans="1:7" s="210" customFormat="1" ht="15.75" customHeight="1">
      <c r="A164" s="150"/>
      <c r="B164" s="270">
        <v>6112</v>
      </c>
      <c r="C164" s="186" t="s">
        <v>481</v>
      </c>
      <c r="D164" s="185">
        <v>4988.3</v>
      </c>
      <c r="E164" s="185">
        <v>4993.7</v>
      </c>
      <c r="F164" s="185">
        <v>4518.3</v>
      </c>
      <c r="G164" s="337">
        <f t="shared" si="4"/>
        <v>90.48000480605563</v>
      </c>
    </row>
    <row r="165" spans="1:7" s="210" customFormat="1" ht="15.75" customHeight="1">
      <c r="A165" s="150"/>
      <c r="B165" s="270">
        <v>6114</v>
      </c>
      <c r="C165" s="186" t="s">
        <v>482</v>
      </c>
      <c r="D165" s="185">
        <v>0</v>
      </c>
      <c r="E165" s="185">
        <v>653</v>
      </c>
      <c r="F165" s="185">
        <v>491.6</v>
      </c>
      <c r="G165" s="337">
        <f t="shared" si="4"/>
        <v>75.2833078101072</v>
      </c>
    </row>
    <row r="166" spans="1:7" s="210" customFormat="1" ht="15.75" customHeight="1" hidden="1">
      <c r="A166" s="150"/>
      <c r="B166" s="270">
        <v>6115</v>
      </c>
      <c r="C166" s="186" t="s">
        <v>483</v>
      </c>
      <c r="D166" s="185">
        <v>0</v>
      </c>
      <c r="E166" s="185"/>
      <c r="F166" s="185"/>
      <c r="G166" s="337" t="e">
        <f t="shared" si="4"/>
        <v>#DIV/0!</v>
      </c>
    </row>
    <row r="167" spans="1:7" s="210" customFormat="1" ht="15.75" customHeight="1">
      <c r="A167" s="150"/>
      <c r="B167" s="270">
        <v>6118</v>
      </c>
      <c r="C167" s="186" t="s">
        <v>484</v>
      </c>
      <c r="D167" s="271">
        <v>0</v>
      </c>
      <c r="E167" s="271">
        <v>469.4</v>
      </c>
      <c r="F167" s="185">
        <v>469.4</v>
      </c>
      <c r="G167" s="337">
        <f t="shared" si="4"/>
        <v>100</v>
      </c>
    </row>
    <row r="168" spans="1:7" s="210" customFormat="1" ht="15.75" customHeight="1" hidden="1">
      <c r="A168" s="150"/>
      <c r="B168" s="270">
        <v>6149</v>
      </c>
      <c r="C168" s="186" t="s">
        <v>485</v>
      </c>
      <c r="D168" s="271">
        <v>0</v>
      </c>
      <c r="E168" s="271">
        <v>0</v>
      </c>
      <c r="F168" s="185"/>
      <c r="G168" s="337" t="e">
        <f t="shared" si="4"/>
        <v>#DIV/0!</v>
      </c>
    </row>
    <row r="169" spans="1:7" s="210" customFormat="1" ht="17.25" customHeight="1">
      <c r="A169" s="270" t="s">
        <v>486</v>
      </c>
      <c r="B169" s="270">
        <v>6171</v>
      </c>
      <c r="C169" s="186" t="s">
        <v>487</v>
      </c>
      <c r="D169" s="185">
        <f>100227+200</f>
        <v>100427</v>
      </c>
      <c r="E169" s="185">
        <f>108836.3+220</f>
        <v>109056.3</v>
      </c>
      <c r="F169" s="185">
        <f>97530.2+207.8</f>
        <v>97738</v>
      </c>
      <c r="G169" s="337">
        <f t="shared" si="4"/>
        <v>89.62159911898716</v>
      </c>
    </row>
    <row r="170" spans="1:7" s="210" customFormat="1" ht="15.75" customHeight="1" thickBot="1">
      <c r="A170" s="272"/>
      <c r="B170" s="273"/>
      <c r="C170" s="274"/>
      <c r="D170" s="271"/>
      <c r="E170" s="271"/>
      <c r="F170" s="271"/>
      <c r="G170" s="343"/>
    </row>
    <row r="171" spans="1:7" s="210" customFormat="1" ht="18.75" customHeight="1" thickBot="1" thickTop="1">
      <c r="A171" s="265"/>
      <c r="B171" s="275"/>
      <c r="C171" s="276" t="s">
        <v>488</v>
      </c>
      <c r="D171" s="244">
        <f>SUM(D159:D170)</f>
        <v>110088.3</v>
      </c>
      <c r="E171" s="244">
        <f>SUM(E159:E170)</f>
        <v>127636.8</v>
      </c>
      <c r="F171" s="244">
        <f>SUM(F159:F170)</f>
        <v>114765.8</v>
      </c>
      <c r="G171" s="339">
        <f>(F171/E171)*100</f>
        <v>89.91591766637835</v>
      </c>
    </row>
    <row r="172" spans="1:7" s="210" customFormat="1" ht="18.75" customHeight="1">
      <c r="A172" s="209"/>
      <c r="B172" s="212"/>
      <c r="C172" s="245"/>
      <c r="D172" s="247"/>
      <c r="E172" s="247"/>
      <c r="F172" s="247"/>
      <c r="G172" s="340"/>
    </row>
    <row r="173" spans="1:7" s="210" customFormat="1" ht="15.75" customHeight="1">
      <c r="A173" s="209"/>
      <c r="B173" s="212"/>
      <c r="C173" s="245"/>
      <c r="D173" s="247"/>
      <c r="E173" s="277"/>
      <c r="F173" s="247"/>
      <c r="G173" s="340"/>
    </row>
    <row r="174" spans="1:7" s="210" customFormat="1" ht="12.75" customHeight="1" hidden="1">
      <c r="A174" s="209"/>
      <c r="B174" s="212"/>
      <c r="C174" s="245"/>
      <c r="D174" s="247"/>
      <c r="E174" s="247"/>
      <c r="F174" s="247"/>
      <c r="G174" s="340"/>
    </row>
    <row r="175" spans="1:7" s="210" customFormat="1" ht="12.75" customHeight="1" hidden="1">
      <c r="A175" s="209"/>
      <c r="B175" s="212"/>
      <c r="C175" s="245"/>
      <c r="D175" s="247"/>
      <c r="E175" s="247"/>
      <c r="F175" s="247"/>
      <c r="G175" s="340"/>
    </row>
    <row r="176" spans="1:7" s="210" customFormat="1" ht="12.75" customHeight="1" hidden="1">
      <c r="A176" s="209"/>
      <c r="B176" s="212"/>
      <c r="C176" s="245"/>
      <c r="D176" s="247"/>
      <c r="E176" s="247"/>
      <c r="F176" s="247"/>
      <c r="G176" s="340"/>
    </row>
    <row r="177" spans="1:7" s="210" customFormat="1" ht="12.75" customHeight="1" hidden="1">
      <c r="A177" s="209"/>
      <c r="B177" s="212"/>
      <c r="C177" s="245"/>
      <c r="D177" s="247"/>
      <c r="E177" s="247"/>
      <c r="F177" s="247"/>
      <c r="G177" s="340"/>
    </row>
    <row r="178" spans="1:7" s="210" customFormat="1" ht="15.75" customHeight="1" thickBot="1">
      <c r="A178" s="209"/>
      <c r="B178" s="212"/>
      <c r="C178" s="245"/>
      <c r="D178" s="247"/>
      <c r="E178" s="247"/>
      <c r="F178" s="247"/>
      <c r="G178" s="340"/>
    </row>
    <row r="179" spans="1:7" s="210" customFormat="1" ht="15.75">
      <c r="A179" s="321" t="s">
        <v>76</v>
      </c>
      <c r="B179" s="322" t="s">
        <v>77</v>
      </c>
      <c r="C179" s="321" t="s">
        <v>79</v>
      </c>
      <c r="D179" s="321" t="s">
        <v>26</v>
      </c>
      <c r="E179" s="321" t="s">
        <v>26</v>
      </c>
      <c r="F179" s="313" t="s">
        <v>8</v>
      </c>
      <c r="G179" s="334" t="s">
        <v>360</v>
      </c>
    </row>
    <row r="180" spans="1:7" s="210" customFormat="1" ht="15.75" customHeight="1" thickBot="1">
      <c r="A180" s="323"/>
      <c r="B180" s="324"/>
      <c r="C180" s="325"/>
      <c r="D180" s="326" t="s">
        <v>28</v>
      </c>
      <c r="E180" s="326" t="s">
        <v>29</v>
      </c>
      <c r="F180" s="317" t="s">
        <v>30</v>
      </c>
      <c r="G180" s="335" t="s">
        <v>361</v>
      </c>
    </row>
    <row r="181" spans="1:7" s="210" customFormat="1" ht="16.5" thickTop="1">
      <c r="A181" s="230">
        <v>50</v>
      </c>
      <c r="B181" s="231"/>
      <c r="C181" s="232" t="s">
        <v>214</v>
      </c>
      <c r="D181" s="171"/>
      <c r="E181" s="171"/>
      <c r="F181" s="171"/>
      <c r="G181" s="341"/>
    </row>
    <row r="182" spans="1:7" s="210" customFormat="1" ht="14.25" customHeight="1">
      <c r="A182" s="230"/>
      <c r="B182" s="231"/>
      <c r="C182" s="232"/>
      <c r="D182" s="171"/>
      <c r="E182" s="171"/>
      <c r="F182" s="171"/>
      <c r="G182" s="341"/>
    </row>
    <row r="183" spans="1:7" s="210" customFormat="1" ht="15">
      <c r="A183" s="150"/>
      <c r="B183" s="235">
        <v>3541</v>
      </c>
      <c r="C183" s="150" t="s">
        <v>489</v>
      </c>
      <c r="D183" s="136">
        <v>400</v>
      </c>
      <c r="E183" s="136">
        <v>400</v>
      </c>
      <c r="F183" s="136">
        <v>400</v>
      </c>
      <c r="G183" s="337">
        <f aca="true" t="shared" si="5" ref="G183:G200">(F183/E183)*100</f>
        <v>100</v>
      </c>
    </row>
    <row r="184" spans="1:7" s="210" customFormat="1" ht="15">
      <c r="A184" s="150"/>
      <c r="B184" s="235">
        <v>3599</v>
      </c>
      <c r="C184" s="150" t="s">
        <v>490</v>
      </c>
      <c r="D184" s="136">
        <v>3</v>
      </c>
      <c r="E184" s="136">
        <v>5</v>
      </c>
      <c r="F184" s="136">
        <v>4.7</v>
      </c>
      <c r="G184" s="337">
        <f t="shared" si="5"/>
        <v>94</v>
      </c>
    </row>
    <row r="185" spans="1:7" s="210" customFormat="1" ht="15">
      <c r="A185" s="150"/>
      <c r="B185" s="235">
        <v>4193</v>
      </c>
      <c r="C185" s="150" t="s">
        <v>491</v>
      </c>
      <c r="D185" s="136">
        <v>0</v>
      </c>
      <c r="E185" s="136">
        <v>19.4</v>
      </c>
      <c r="F185" s="136">
        <v>0</v>
      </c>
      <c r="G185" s="337">
        <f t="shared" si="5"/>
        <v>0</v>
      </c>
    </row>
    <row r="186" spans="1:7" s="210" customFormat="1" ht="15">
      <c r="A186" s="257"/>
      <c r="B186" s="235">
        <v>4329</v>
      </c>
      <c r="C186" s="150" t="s">
        <v>492</v>
      </c>
      <c r="D186" s="136">
        <v>40</v>
      </c>
      <c r="E186" s="136">
        <v>50</v>
      </c>
      <c r="F186" s="136">
        <v>46</v>
      </c>
      <c r="G186" s="337">
        <f t="shared" si="5"/>
        <v>92</v>
      </c>
    </row>
    <row r="187" spans="1:7" s="210" customFormat="1" ht="15">
      <c r="A187" s="150"/>
      <c r="B187" s="235">
        <v>4333</v>
      </c>
      <c r="C187" s="150" t="s">
        <v>493</v>
      </c>
      <c r="D187" s="136">
        <v>150</v>
      </c>
      <c r="E187" s="136">
        <v>150</v>
      </c>
      <c r="F187" s="136">
        <v>150</v>
      </c>
      <c r="G187" s="337">
        <f t="shared" si="5"/>
        <v>100</v>
      </c>
    </row>
    <row r="188" spans="1:7" s="210" customFormat="1" ht="15" customHeight="1" hidden="1">
      <c r="A188" s="150"/>
      <c r="B188" s="235">
        <v>4341</v>
      </c>
      <c r="C188" s="150" t="s">
        <v>494</v>
      </c>
      <c r="D188" s="136">
        <v>0</v>
      </c>
      <c r="E188" s="136">
        <v>0</v>
      </c>
      <c r="F188" s="136"/>
      <c r="G188" s="337" t="e">
        <f t="shared" si="5"/>
        <v>#DIV/0!</v>
      </c>
    </row>
    <row r="189" spans="1:7" s="210" customFormat="1" ht="15">
      <c r="A189" s="150"/>
      <c r="B189" s="235">
        <v>4342</v>
      </c>
      <c r="C189" s="150" t="s">
        <v>495</v>
      </c>
      <c r="D189" s="136">
        <v>20</v>
      </c>
      <c r="E189" s="136">
        <v>0.6</v>
      </c>
      <c r="F189" s="136">
        <v>0</v>
      </c>
      <c r="G189" s="337">
        <f t="shared" si="5"/>
        <v>0</v>
      </c>
    </row>
    <row r="190" spans="1:7" s="210" customFormat="1" ht="15">
      <c r="A190" s="150"/>
      <c r="B190" s="235">
        <v>4343</v>
      </c>
      <c r="C190" s="150" t="s">
        <v>496</v>
      </c>
      <c r="D190" s="136">
        <v>50</v>
      </c>
      <c r="E190" s="136">
        <v>40</v>
      </c>
      <c r="F190" s="136">
        <v>0</v>
      </c>
      <c r="G190" s="337">
        <f t="shared" si="5"/>
        <v>0</v>
      </c>
    </row>
    <row r="191" spans="1:7" s="210" customFormat="1" ht="15">
      <c r="A191" s="150"/>
      <c r="B191" s="235">
        <v>4349</v>
      </c>
      <c r="C191" s="150" t="s">
        <v>497</v>
      </c>
      <c r="D191" s="136">
        <v>530</v>
      </c>
      <c r="E191" s="136">
        <v>831.1</v>
      </c>
      <c r="F191" s="136">
        <v>819</v>
      </c>
      <c r="G191" s="337">
        <f t="shared" si="5"/>
        <v>98.54409818313079</v>
      </c>
    </row>
    <row r="192" spans="1:7" s="210" customFormat="1" ht="15">
      <c r="A192" s="257"/>
      <c r="B192" s="278">
        <v>4351</v>
      </c>
      <c r="C192" s="257" t="s">
        <v>498</v>
      </c>
      <c r="D192" s="136">
        <v>2124</v>
      </c>
      <c r="E192" s="136">
        <v>2132.9</v>
      </c>
      <c r="F192" s="136">
        <v>2132.9</v>
      </c>
      <c r="G192" s="337">
        <f t="shared" si="5"/>
        <v>100</v>
      </c>
    </row>
    <row r="193" spans="1:7" s="210" customFormat="1" ht="15">
      <c r="A193" s="257"/>
      <c r="B193" s="278">
        <v>4356</v>
      </c>
      <c r="C193" s="257" t="s">
        <v>499</v>
      </c>
      <c r="D193" s="136">
        <v>600</v>
      </c>
      <c r="E193" s="136">
        <v>600</v>
      </c>
      <c r="F193" s="136">
        <v>600</v>
      </c>
      <c r="G193" s="337">
        <f t="shared" si="5"/>
        <v>100</v>
      </c>
    </row>
    <row r="194" spans="1:7" s="210" customFormat="1" ht="15">
      <c r="A194" s="257"/>
      <c r="B194" s="278">
        <v>4357</v>
      </c>
      <c r="C194" s="257" t="s">
        <v>500</v>
      </c>
      <c r="D194" s="136">
        <v>8200</v>
      </c>
      <c r="E194" s="136">
        <f>8467+481</f>
        <v>8948</v>
      </c>
      <c r="F194" s="136">
        <f>8467+481</f>
        <v>8948</v>
      </c>
      <c r="G194" s="337">
        <f t="shared" si="5"/>
        <v>100</v>
      </c>
    </row>
    <row r="195" spans="1:7" s="210" customFormat="1" ht="15">
      <c r="A195" s="257"/>
      <c r="B195" s="278">
        <v>4357</v>
      </c>
      <c r="C195" s="257" t="s">
        <v>501</v>
      </c>
      <c r="D195" s="136">
        <v>500</v>
      </c>
      <c r="E195" s="136">
        <v>500</v>
      </c>
      <c r="F195" s="136">
        <v>500</v>
      </c>
      <c r="G195" s="337">
        <f t="shared" si="5"/>
        <v>100</v>
      </c>
    </row>
    <row r="196" spans="1:7" s="210" customFormat="1" ht="15">
      <c r="A196" s="257"/>
      <c r="B196" s="327">
        <v>4359</v>
      </c>
      <c r="C196" s="138" t="s">
        <v>502</v>
      </c>
      <c r="D196" s="139">
        <v>100</v>
      </c>
      <c r="E196" s="139">
        <v>100</v>
      </c>
      <c r="F196" s="139">
        <v>100</v>
      </c>
      <c r="G196" s="337">
        <f t="shared" si="5"/>
        <v>100</v>
      </c>
    </row>
    <row r="197" spans="1:7" s="210" customFormat="1" ht="15">
      <c r="A197" s="150"/>
      <c r="B197" s="235">
        <v>4371</v>
      </c>
      <c r="C197" s="253" t="s">
        <v>503</v>
      </c>
      <c r="D197" s="136">
        <v>520</v>
      </c>
      <c r="E197" s="136">
        <v>520</v>
      </c>
      <c r="F197" s="136">
        <v>520</v>
      </c>
      <c r="G197" s="337">
        <f t="shared" si="5"/>
        <v>100</v>
      </c>
    </row>
    <row r="198" spans="1:7" s="210" customFormat="1" ht="15">
      <c r="A198" s="150"/>
      <c r="B198" s="235">
        <v>4374</v>
      </c>
      <c r="C198" s="150" t="s">
        <v>504</v>
      </c>
      <c r="D198" s="136">
        <v>300</v>
      </c>
      <c r="E198" s="136">
        <v>310</v>
      </c>
      <c r="F198" s="136">
        <v>309.1</v>
      </c>
      <c r="G198" s="337">
        <f t="shared" si="5"/>
        <v>99.70967741935485</v>
      </c>
    </row>
    <row r="199" spans="1:7" s="210" customFormat="1" ht="15">
      <c r="A199" s="257"/>
      <c r="B199" s="278">
        <v>4399</v>
      </c>
      <c r="C199" s="257" t="s">
        <v>505</v>
      </c>
      <c r="D199" s="139">
        <v>60</v>
      </c>
      <c r="E199" s="139">
        <v>332</v>
      </c>
      <c r="F199" s="139">
        <v>99.5</v>
      </c>
      <c r="G199" s="337">
        <f t="shared" si="5"/>
        <v>29.96987951807229</v>
      </c>
    </row>
    <row r="200" spans="1:7" s="210" customFormat="1" ht="15" hidden="1">
      <c r="A200" s="257"/>
      <c r="B200" s="278">
        <v>6402</v>
      </c>
      <c r="C200" s="257" t="s">
        <v>506</v>
      </c>
      <c r="D200" s="271"/>
      <c r="E200" s="271"/>
      <c r="F200" s="139"/>
      <c r="G200" s="337" t="e">
        <f t="shared" si="5"/>
        <v>#DIV/0!</v>
      </c>
    </row>
    <row r="201" spans="1:7" s="210" customFormat="1" ht="15" customHeight="1" hidden="1">
      <c r="A201" s="257"/>
      <c r="B201" s="278">
        <v>6409</v>
      </c>
      <c r="C201" s="257" t="s">
        <v>507</v>
      </c>
      <c r="D201" s="271">
        <v>0</v>
      </c>
      <c r="E201" s="271">
        <v>0</v>
      </c>
      <c r="F201" s="271"/>
      <c r="G201" s="337" t="e">
        <f>(#REF!/E201)*100</f>
        <v>#REF!</v>
      </c>
    </row>
    <row r="202" spans="1:7" s="210" customFormat="1" ht="15" customHeight="1" thickBot="1">
      <c r="A202" s="257"/>
      <c r="B202" s="278"/>
      <c r="C202" s="257"/>
      <c r="D202" s="271"/>
      <c r="E202" s="271"/>
      <c r="F202" s="271"/>
      <c r="G202" s="337"/>
    </row>
    <row r="203" spans="1:7" s="210" customFormat="1" ht="18.75" customHeight="1" thickBot="1" thickTop="1">
      <c r="A203" s="265"/>
      <c r="B203" s="242"/>
      <c r="C203" s="243" t="s">
        <v>508</v>
      </c>
      <c r="D203" s="244">
        <f>SUM(D183:D202)</f>
        <v>13597</v>
      </c>
      <c r="E203" s="244">
        <f>SUM(E183:E202)</f>
        <v>14939</v>
      </c>
      <c r="F203" s="244">
        <f>SUM(F183:F202)</f>
        <v>14629.2</v>
      </c>
      <c r="G203" s="339">
        <f>(F203/E203)*100</f>
        <v>97.92623334895241</v>
      </c>
    </row>
    <row r="204" spans="1:7" s="210" customFormat="1" ht="15.75" customHeight="1">
      <c r="A204" s="209"/>
      <c r="B204" s="212"/>
      <c r="C204" s="245"/>
      <c r="D204" s="246"/>
      <c r="E204" s="246"/>
      <c r="F204" s="246"/>
      <c r="G204" s="340"/>
    </row>
    <row r="205" spans="1:7" s="210" customFormat="1" ht="15.75" customHeight="1">
      <c r="A205" s="209"/>
      <c r="B205" s="212"/>
      <c r="C205" s="245"/>
      <c r="D205" s="247"/>
      <c r="E205" s="247"/>
      <c r="F205" s="247"/>
      <c r="G205" s="340"/>
    </row>
    <row r="206" spans="1:7" s="210" customFormat="1" ht="12.75" customHeight="1" hidden="1">
      <c r="A206" s="209"/>
      <c r="C206" s="212"/>
      <c r="D206" s="247"/>
      <c r="E206" s="247"/>
      <c r="F206" s="247"/>
      <c r="G206" s="340"/>
    </row>
    <row r="207" spans="1:7" s="210" customFormat="1" ht="12.75" customHeight="1" hidden="1">
      <c r="A207" s="209"/>
      <c r="B207" s="212"/>
      <c r="C207" s="245"/>
      <c r="D207" s="247"/>
      <c r="E207" s="247"/>
      <c r="F207" s="247"/>
      <c r="G207" s="340"/>
    </row>
    <row r="208" spans="1:7" s="210" customFormat="1" ht="12.75" customHeight="1" hidden="1">
      <c r="A208" s="209"/>
      <c r="B208" s="212"/>
      <c r="C208" s="245"/>
      <c r="D208" s="247"/>
      <c r="E208" s="247"/>
      <c r="F208" s="247"/>
      <c r="G208" s="340"/>
    </row>
    <row r="209" spans="1:7" s="210" customFormat="1" ht="12.75" customHeight="1" hidden="1">
      <c r="A209" s="209"/>
      <c r="B209" s="212"/>
      <c r="C209" s="245"/>
      <c r="D209" s="247"/>
      <c r="E209" s="247"/>
      <c r="F209" s="247"/>
      <c r="G209" s="340"/>
    </row>
    <row r="210" spans="1:7" s="210" customFormat="1" ht="12.75" customHeight="1" hidden="1">
      <c r="A210" s="209"/>
      <c r="B210" s="212"/>
      <c r="C210" s="245"/>
      <c r="D210" s="247"/>
      <c r="E210" s="247"/>
      <c r="F210" s="247"/>
      <c r="G210" s="340"/>
    </row>
    <row r="211" spans="1:7" s="210" customFormat="1" ht="12.75" customHeight="1" hidden="1">
      <c r="A211" s="209"/>
      <c r="B211" s="212"/>
      <c r="C211" s="245"/>
      <c r="D211" s="247"/>
      <c r="E211" s="247"/>
      <c r="F211" s="247"/>
      <c r="G211" s="340"/>
    </row>
    <row r="212" spans="1:7" s="210" customFormat="1" ht="12.75" customHeight="1" hidden="1">
      <c r="A212" s="209"/>
      <c r="B212" s="212"/>
      <c r="C212" s="245"/>
      <c r="D212" s="247"/>
      <c r="E212" s="219"/>
      <c r="F212" s="219"/>
      <c r="G212" s="330"/>
    </row>
    <row r="213" spans="1:7" s="210" customFormat="1" ht="12.75" customHeight="1" hidden="1">
      <c r="A213" s="209"/>
      <c r="B213" s="212"/>
      <c r="C213" s="245"/>
      <c r="D213" s="247"/>
      <c r="E213" s="247"/>
      <c r="F213" s="247"/>
      <c r="G213" s="340"/>
    </row>
    <row r="214" spans="1:7" s="210" customFormat="1" ht="12.75" customHeight="1" hidden="1">
      <c r="A214" s="209"/>
      <c r="B214" s="212"/>
      <c r="C214" s="245"/>
      <c r="D214" s="247"/>
      <c r="E214" s="247"/>
      <c r="F214" s="247"/>
      <c r="G214" s="340"/>
    </row>
    <row r="215" spans="1:7" s="210" customFormat="1" ht="18" customHeight="1" hidden="1">
      <c r="A215" s="209"/>
      <c r="B215" s="212"/>
      <c r="C215" s="245"/>
      <c r="D215" s="247"/>
      <c r="E215" s="219"/>
      <c r="F215" s="219"/>
      <c r="G215" s="330"/>
    </row>
    <row r="216" spans="1:7" s="210" customFormat="1" ht="15.75" customHeight="1" thickBot="1">
      <c r="A216" s="209"/>
      <c r="B216" s="212"/>
      <c r="C216" s="245"/>
      <c r="D216" s="247"/>
      <c r="E216" s="226"/>
      <c r="F216" s="226"/>
      <c r="G216" s="332"/>
    </row>
    <row r="217" spans="1:7" s="210" customFormat="1" ht="15.75">
      <c r="A217" s="321" t="s">
        <v>76</v>
      </c>
      <c r="B217" s="322" t="s">
        <v>77</v>
      </c>
      <c r="C217" s="321" t="s">
        <v>79</v>
      </c>
      <c r="D217" s="321" t="s">
        <v>26</v>
      </c>
      <c r="E217" s="321" t="s">
        <v>26</v>
      </c>
      <c r="F217" s="313" t="s">
        <v>8</v>
      </c>
      <c r="G217" s="334" t="s">
        <v>360</v>
      </c>
    </row>
    <row r="218" spans="1:7" s="210" customFormat="1" ht="15.75" customHeight="1" thickBot="1">
      <c r="A218" s="323"/>
      <c r="B218" s="324"/>
      <c r="C218" s="325"/>
      <c r="D218" s="326" t="s">
        <v>28</v>
      </c>
      <c r="E218" s="326" t="s">
        <v>29</v>
      </c>
      <c r="F218" s="317" t="s">
        <v>30</v>
      </c>
      <c r="G218" s="335" t="s">
        <v>361</v>
      </c>
    </row>
    <row r="219" spans="1:7" s="210" customFormat="1" ht="16.5" thickTop="1">
      <c r="A219" s="230">
        <v>60</v>
      </c>
      <c r="B219" s="231"/>
      <c r="C219" s="232" t="s">
        <v>232</v>
      </c>
      <c r="D219" s="171"/>
      <c r="E219" s="171"/>
      <c r="F219" s="171"/>
      <c r="G219" s="341"/>
    </row>
    <row r="220" spans="1:7" s="210" customFormat="1" ht="15.75">
      <c r="A220" s="183"/>
      <c r="B220" s="234"/>
      <c r="C220" s="183"/>
      <c r="D220" s="185"/>
      <c r="E220" s="185"/>
      <c r="F220" s="185"/>
      <c r="G220" s="337"/>
    </row>
    <row r="221" spans="1:7" s="210" customFormat="1" ht="15">
      <c r="A221" s="150"/>
      <c r="B221" s="235">
        <v>1014</v>
      </c>
      <c r="C221" s="150" t="s">
        <v>509</v>
      </c>
      <c r="D221" s="136">
        <v>550</v>
      </c>
      <c r="E221" s="136">
        <v>576</v>
      </c>
      <c r="F221" s="136">
        <v>539.5</v>
      </c>
      <c r="G221" s="337">
        <f aca="true" t="shared" si="6" ref="G221:G231">(F221/E221)*100</f>
        <v>93.66319444444444</v>
      </c>
    </row>
    <row r="222" spans="1:7" s="210" customFormat="1" ht="15" customHeight="1" hidden="1">
      <c r="A222" s="257"/>
      <c r="B222" s="278">
        <v>1031</v>
      </c>
      <c r="C222" s="257" t="s">
        <v>510</v>
      </c>
      <c r="D222" s="139"/>
      <c r="E222" s="139"/>
      <c r="F222" s="139"/>
      <c r="G222" s="337" t="e">
        <f t="shared" si="6"/>
        <v>#DIV/0!</v>
      </c>
    </row>
    <row r="223" spans="1:7" s="210" customFormat="1" ht="15">
      <c r="A223" s="150"/>
      <c r="B223" s="235">
        <v>1036</v>
      </c>
      <c r="C223" s="150" t="s">
        <v>511</v>
      </c>
      <c r="D223" s="136">
        <v>0</v>
      </c>
      <c r="E223" s="136">
        <v>95.7</v>
      </c>
      <c r="F223" s="136">
        <v>95.5</v>
      </c>
      <c r="G223" s="337">
        <f t="shared" si="6"/>
        <v>99.79101358411702</v>
      </c>
    </row>
    <row r="224" spans="1:7" s="210" customFormat="1" ht="15" customHeight="1">
      <c r="A224" s="257"/>
      <c r="B224" s="278">
        <v>1037</v>
      </c>
      <c r="C224" s="257" t="s">
        <v>512</v>
      </c>
      <c r="D224" s="139">
        <v>0</v>
      </c>
      <c r="E224" s="139">
        <v>101.8</v>
      </c>
      <c r="F224" s="139">
        <v>101.7</v>
      </c>
      <c r="G224" s="337">
        <f t="shared" si="6"/>
        <v>99.90176817288801</v>
      </c>
    </row>
    <row r="225" spans="1:7" s="210" customFormat="1" ht="15" hidden="1">
      <c r="A225" s="257"/>
      <c r="B225" s="278">
        <v>1039</v>
      </c>
      <c r="C225" s="257" t="s">
        <v>513</v>
      </c>
      <c r="D225" s="139">
        <v>0</v>
      </c>
      <c r="E225" s="139"/>
      <c r="F225" s="139"/>
      <c r="G225" s="337" t="e">
        <f t="shared" si="6"/>
        <v>#DIV/0!</v>
      </c>
    </row>
    <row r="226" spans="1:7" s="210" customFormat="1" ht="15">
      <c r="A226" s="257"/>
      <c r="B226" s="278">
        <v>1070</v>
      </c>
      <c r="C226" s="257" t="s">
        <v>514</v>
      </c>
      <c r="D226" s="139">
        <v>7</v>
      </c>
      <c r="E226" s="139">
        <v>6.5</v>
      </c>
      <c r="F226" s="139">
        <v>6.5</v>
      </c>
      <c r="G226" s="337">
        <f t="shared" si="6"/>
        <v>100</v>
      </c>
    </row>
    <row r="227" spans="1:7" s="210" customFormat="1" ht="15" hidden="1">
      <c r="A227" s="257"/>
      <c r="B227" s="278">
        <v>2331</v>
      </c>
      <c r="C227" s="257" t="s">
        <v>515</v>
      </c>
      <c r="D227" s="139"/>
      <c r="E227" s="139"/>
      <c r="F227" s="136"/>
      <c r="G227" s="337" t="e">
        <f t="shared" si="6"/>
        <v>#DIV/0!</v>
      </c>
    </row>
    <row r="228" spans="1:7" s="210" customFormat="1" ht="15">
      <c r="A228" s="257"/>
      <c r="B228" s="278">
        <v>3739</v>
      </c>
      <c r="C228" s="257" t="s">
        <v>516</v>
      </c>
      <c r="D228" s="136">
        <v>50</v>
      </c>
      <c r="E228" s="136">
        <v>50</v>
      </c>
      <c r="F228" s="136">
        <v>0</v>
      </c>
      <c r="G228" s="337">
        <f t="shared" si="6"/>
        <v>0</v>
      </c>
    </row>
    <row r="229" spans="1:7" s="210" customFormat="1" ht="15">
      <c r="A229" s="150"/>
      <c r="B229" s="235">
        <v>3749</v>
      </c>
      <c r="C229" s="150" t="s">
        <v>517</v>
      </c>
      <c r="D229" s="136">
        <v>50</v>
      </c>
      <c r="E229" s="136">
        <v>39</v>
      </c>
      <c r="F229" s="136">
        <v>33.9</v>
      </c>
      <c r="G229" s="337">
        <f t="shared" si="6"/>
        <v>86.92307692307692</v>
      </c>
    </row>
    <row r="230" spans="1:7" s="210" customFormat="1" ht="15">
      <c r="A230" s="150"/>
      <c r="B230" s="235">
        <v>5272</v>
      </c>
      <c r="C230" s="150" t="s">
        <v>518</v>
      </c>
      <c r="D230" s="136">
        <v>0</v>
      </c>
      <c r="E230" s="136">
        <v>100</v>
      </c>
      <c r="F230" s="136">
        <v>100</v>
      </c>
      <c r="G230" s="337">
        <f t="shared" si="6"/>
        <v>100</v>
      </c>
    </row>
    <row r="231" spans="1:7" s="210" customFormat="1" ht="15">
      <c r="A231" s="150"/>
      <c r="B231" s="235">
        <v>6171</v>
      </c>
      <c r="C231" s="150" t="s">
        <v>519</v>
      </c>
      <c r="D231" s="136">
        <v>0</v>
      </c>
      <c r="E231" s="136">
        <v>5.5</v>
      </c>
      <c r="F231" s="136">
        <v>5.3</v>
      </c>
      <c r="G231" s="337">
        <f t="shared" si="6"/>
        <v>96.36363636363636</v>
      </c>
    </row>
    <row r="232" spans="1:7" s="210" customFormat="1" ht="15.75" thickBot="1">
      <c r="A232" s="237"/>
      <c r="B232" s="279"/>
      <c r="C232" s="237"/>
      <c r="D232" s="271"/>
      <c r="E232" s="271"/>
      <c r="F232" s="271"/>
      <c r="G232" s="343"/>
    </row>
    <row r="233" spans="1:7" s="210" customFormat="1" ht="18.75" customHeight="1" thickBot="1" thickTop="1">
      <c r="A233" s="241"/>
      <c r="B233" s="280"/>
      <c r="C233" s="281" t="s">
        <v>520</v>
      </c>
      <c r="D233" s="244">
        <f>SUM(D219:D232)</f>
        <v>657</v>
      </c>
      <c r="E233" s="244">
        <f>SUM(E220:E232)</f>
        <v>974.5</v>
      </c>
      <c r="F233" s="244">
        <f>SUM(F219:F232)</f>
        <v>882.4</v>
      </c>
      <c r="G233" s="339">
        <f>(F233/E233)*100</f>
        <v>90.54899948691637</v>
      </c>
    </row>
    <row r="234" spans="1:7" s="210" customFormat="1" ht="12.75" customHeight="1">
      <c r="A234" s="209"/>
      <c r="B234" s="212"/>
      <c r="C234" s="245"/>
      <c r="D234" s="247"/>
      <c r="E234" s="247"/>
      <c r="F234" s="247"/>
      <c r="G234" s="340"/>
    </row>
    <row r="235" spans="1:7" s="210" customFormat="1" ht="12.75" customHeight="1" hidden="1">
      <c r="A235" s="209"/>
      <c r="B235" s="212"/>
      <c r="C235" s="245"/>
      <c r="D235" s="247"/>
      <c r="E235" s="247"/>
      <c r="F235" s="247"/>
      <c r="G235" s="340"/>
    </row>
    <row r="236" spans="1:7" s="210" customFormat="1" ht="12.75" customHeight="1" hidden="1">
      <c r="A236" s="209"/>
      <c r="B236" s="212"/>
      <c r="C236" s="245"/>
      <c r="D236" s="247"/>
      <c r="E236" s="247"/>
      <c r="F236" s="247"/>
      <c r="G236" s="340"/>
    </row>
    <row r="237" spans="1:7" s="210" customFormat="1" ht="12.75" customHeight="1" hidden="1">
      <c r="A237" s="209"/>
      <c r="B237" s="212"/>
      <c r="C237" s="245"/>
      <c r="D237" s="247"/>
      <c r="E237" s="247"/>
      <c r="F237" s="247"/>
      <c r="G237" s="340"/>
    </row>
    <row r="238" spans="2:7" s="210" customFormat="1" ht="12.75" customHeight="1" hidden="1">
      <c r="B238" s="248"/>
      <c r="G238" s="309"/>
    </row>
    <row r="239" spans="2:7" s="210" customFormat="1" ht="12.75" customHeight="1" hidden="1">
      <c r="B239" s="248"/>
      <c r="G239" s="309"/>
    </row>
    <row r="240" spans="2:7" s="210" customFormat="1" ht="12.75" customHeight="1" thickBot="1">
      <c r="B240" s="248"/>
      <c r="G240" s="309"/>
    </row>
    <row r="241" spans="1:7" s="210" customFormat="1" ht="15.75">
      <c r="A241" s="321" t="s">
        <v>76</v>
      </c>
      <c r="B241" s="322" t="s">
        <v>77</v>
      </c>
      <c r="C241" s="321" t="s">
        <v>79</v>
      </c>
      <c r="D241" s="321" t="s">
        <v>26</v>
      </c>
      <c r="E241" s="321" t="s">
        <v>26</v>
      </c>
      <c r="F241" s="313" t="s">
        <v>8</v>
      </c>
      <c r="G241" s="334" t="s">
        <v>360</v>
      </c>
    </row>
    <row r="242" spans="1:7" s="210" customFormat="1" ht="15.75" customHeight="1" thickBot="1">
      <c r="A242" s="323"/>
      <c r="B242" s="324"/>
      <c r="C242" s="325"/>
      <c r="D242" s="326" t="s">
        <v>28</v>
      </c>
      <c r="E242" s="326" t="s">
        <v>29</v>
      </c>
      <c r="F242" s="317" t="s">
        <v>30</v>
      </c>
      <c r="G242" s="335" t="s">
        <v>361</v>
      </c>
    </row>
    <row r="243" spans="1:7" s="210" customFormat="1" ht="16.5" thickTop="1">
      <c r="A243" s="230">
        <v>80</v>
      </c>
      <c r="B243" s="230"/>
      <c r="C243" s="232" t="s">
        <v>246</v>
      </c>
      <c r="D243" s="171"/>
      <c r="E243" s="171"/>
      <c r="F243" s="171"/>
      <c r="G243" s="341"/>
    </row>
    <row r="244" spans="1:7" s="210" customFormat="1" ht="15.75">
      <c r="A244" s="183"/>
      <c r="B244" s="269"/>
      <c r="C244" s="183"/>
      <c r="D244" s="185"/>
      <c r="E244" s="185"/>
      <c r="F244" s="185"/>
      <c r="G244" s="337"/>
    </row>
    <row r="245" spans="1:7" s="210" customFormat="1" ht="15">
      <c r="A245" s="150"/>
      <c r="B245" s="270">
        <v>2219</v>
      </c>
      <c r="C245" s="150" t="s">
        <v>521</v>
      </c>
      <c r="D245" s="187">
        <v>3370</v>
      </c>
      <c r="E245" s="136">
        <v>3852</v>
      </c>
      <c r="F245" s="136">
        <v>3787</v>
      </c>
      <c r="G245" s="337">
        <f>(F245/E245)*100</f>
        <v>98.31256490134996</v>
      </c>
    </row>
    <row r="246" spans="1:82" s="209" customFormat="1" ht="15">
      <c r="A246" s="150"/>
      <c r="B246" s="270">
        <v>2221</v>
      </c>
      <c r="C246" s="150" t="s">
        <v>522</v>
      </c>
      <c r="D246" s="187">
        <v>17086</v>
      </c>
      <c r="E246" s="136">
        <v>17436</v>
      </c>
      <c r="F246" s="136">
        <v>17062.5</v>
      </c>
      <c r="G246" s="337">
        <f>(F246/E246)*100</f>
        <v>97.85788024776325</v>
      </c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  <c r="BZ246" s="210"/>
      <c r="CA246" s="210"/>
      <c r="CB246" s="210"/>
      <c r="CC246" s="210"/>
      <c r="CD246" s="210"/>
    </row>
    <row r="247" spans="1:82" s="209" customFormat="1" ht="15">
      <c r="A247" s="150"/>
      <c r="B247" s="270">
        <v>2232</v>
      </c>
      <c r="C247" s="150" t="s">
        <v>523</v>
      </c>
      <c r="D247" s="136">
        <v>260</v>
      </c>
      <c r="E247" s="136">
        <v>260</v>
      </c>
      <c r="F247" s="136">
        <v>260</v>
      </c>
      <c r="G247" s="337">
        <f>(F247/E247)*100</f>
        <v>100</v>
      </c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  <c r="BZ247" s="210"/>
      <c r="CA247" s="210"/>
      <c r="CB247" s="210"/>
      <c r="CC247" s="210"/>
      <c r="CD247" s="210"/>
    </row>
    <row r="248" spans="1:82" s="209" customFormat="1" ht="15">
      <c r="A248" s="257"/>
      <c r="B248" s="258">
        <v>6171</v>
      </c>
      <c r="C248" s="257" t="s">
        <v>524</v>
      </c>
      <c r="D248" s="185">
        <v>0</v>
      </c>
      <c r="E248" s="185">
        <v>5</v>
      </c>
      <c r="F248" s="185">
        <v>1</v>
      </c>
      <c r="G248" s="337">
        <f>(F248/E248)*100</f>
        <v>20</v>
      </c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  <c r="BZ248" s="210"/>
      <c r="CA248" s="210"/>
      <c r="CB248" s="210"/>
      <c r="CC248" s="210"/>
      <c r="CD248" s="210"/>
    </row>
    <row r="249" spans="1:82" s="209" customFormat="1" ht="15.75" thickBot="1">
      <c r="A249" s="274"/>
      <c r="B249" s="273"/>
      <c r="C249" s="274"/>
      <c r="D249" s="240"/>
      <c r="E249" s="240"/>
      <c r="F249" s="240"/>
      <c r="G249" s="338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  <c r="BZ249" s="210"/>
      <c r="CA249" s="210"/>
      <c r="CB249" s="210"/>
      <c r="CC249" s="210"/>
      <c r="CD249" s="210"/>
    </row>
    <row r="250" spans="1:82" s="209" customFormat="1" ht="18.75" customHeight="1" thickBot="1" thickTop="1">
      <c r="A250" s="241"/>
      <c r="B250" s="282"/>
      <c r="C250" s="281" t="s">
        <v>525</v>
      </c>
      <c r="D250" s="244">
        <f>SUM(D245:D248)</f>
        <v>20716</v>
      </c>
      <c r="E250" s="244">
        <f>SUM(E245:E248)</f>
        <v>21553</v>
      </c>
      <c r="F250" s="244">
        <f>SUM(F245:F248)</f>
        <v>21110.5</v>
      </c>
      <c r="G250" s="339">
        <f>(F250/E250)*100</f>
        <v>97.94692154224471</v>
      </c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  <c r="BZ250" s="210"/>
      <c r="CA250" s="210"/>
      <c r="CB250" s="210"/>
      <c r="CC250" s="210"/>
      <c r="CD250" s="210"/>
    </row>
    <row r="251" spans="2:82" s="209" customFormat="1" ht="15.75" customHeight="1">
      <c r="B251" s="212"/>
      <c r="C251" s="245"/>
      <c r="D251" s="247"/>
      <c r="E251" s="247"/>
      <c r="F251" s="247"/>
      <c r="G251" s="34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  <c r="BZ251" s="210"/>
      <c r="CA251" s="210"/>
      <c r="CB251" s="210"/>
      <c r="CC251" s="210"/>
      <c r="CD251" s="210"/>
    </row>
    <row r="252" spans="2:82" s="209" customFormat="1" ht="12.75" customHeight="1" hidden="1">
      <c r="B252" s="212"/>
      <c r="C252" s="245"/>
      <c r="D252" s="247"/>
      <c r="E252" s="247"/>
      <c r="F252" s="247"/>
      <c r="G252" s="34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  <c r="BZ252" s="210"/>
      <c r="CA252" s="210"/>
      <c r="CB252" s="210"/>
      <c r="CC252" s="210"/>
      <c r="CD252" s="210"/>
    </row>
    <row r="253" spans="2:82" s="209" customFormat="1" ht="12.75" customHeight="1" hidden="1">
      <c r="B253" s="212"/>
      <c r="C253" s="245"/>
      <c r="D253" s="247"/>
      <c r="E253" s="247"/>
      <c r="F253" s="247"/>
      <c r="G253" s="34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  <c r="AF253" s="210"/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  <c r="BZ253" s="210"/>
      <c r="CA253" s="210"/>
      <c r="CB253" s="210"/>
      <c r="CC253" s="210"/>
      <c r="CD253" s="210"/>
    </row>
    <row r="254" spans="2:82" s="209" customFormat="1" ht="12.75" customHeight="1" hidden="1">
      <c r="B254" s="212"/>
      <c r="C254" s="245"/>
      <c r="D254" s="247"/>
      <c r="E254" s="247"/>
      <c r="F254" s="247"/>
      <c r="G254" s="34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/>
      <c r="AF254" s="210"/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  <c r="BZ254" s="210"/>
      <c r="CA254" s="210"/>
      <c r="CB254" s="210"/>
      <c r="CC254" s="210"/>
      <c r="CD254" s="210"/>
    </row>
    <row r="255" spans="2:82" s="209" customFormat="1" ht="12.75" customHeight="1" hidden="1">
      <c r="B255" s="212"/>
      <c r="C255" s="245"/>
      <c r="D255" s="247"/>
      <c r="E255" s="247"/>
      <c r="F255" s="247"/>
      <c r="G255" s="34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  <c r="BZ255" s="210"/>
      <c r="CA255" s="210"/>
      <c r="CB255" s="210"/>
      <c r="CC255" s="210"/>
      <c r="CD255" s="210"/>
    </row>
    <row r="256" spans="2:82" s="209" customFormat="1" ht="12.75" customHeight="1" hidden="1">
      <c r="B256" s="212"/>
      <c r="C256" s="245"/>
      <c r="D256" s="247"/>
      <c r="E256" s="247"/>
      <c r="F256" s="247"/>
      <c r="G256" s="34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  <c r="BZ256" s="210"/>
      <c r="CA256" s="210"/>
      <c r="CB256" s="210"/>
      <c r="CC256" s="210"/>
      <c r="CD256" s="210"/>
    </row>
    <row r="257" spans="2:82" s="209" customFormat="1" ht="12.75" customHeight="1" hidden="1">
      <c r="B257" s="212"/>
      <c r="C257" s="245"/>
      <c r="D257" s="247"/>
      <c r="E257" s="247"/>
      <c r="F257" s="247"/>
      <c r="G257" s="34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10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  <c r="BZ257" s="210"/>
      <c r="CA257" s="210"/>
      <c r="CB257" s="210"/>
      <c r="CC257" s="210"/>
      <c r="CD257" s="210"/>
    </row>
    <row r="258" spans="2:82" s="209" customFormat="1" ht="12.75" customHeight="1" hidden="1">
      <c r="B258" s="212"/>
      <c r="C258" s="245"/>
      <c r="D258" s="247"/>
      <c r="E258" s="247"/>
      <c r="F258" s="247"/>
      <c r="G258" s="34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  <c r="BZ258" s="210"/>
      <c r="CA258" s="210"/>
      <c r="CB258" s="210"/>
      <c r="CC258" s="210"/>
      <c r="CD258" s="210"/>
    </row>
    <row r="259" spans="2:82" s="209" customFormat="1" ht="15.75" customHeight="1" hidden="1">
      <c r="B259" s="212"/>
      <c r="C259" s="245"/>
      <c r="D259" s="247"/>
      <c r="E259" s="219"/>
      <c r="F259" s="219"/>
      <c r="G259" s="33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  <c r="AF259" s="210"/>
      <c r="AG259" s="210"/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  <c r="BZ259" s="210"/>
      <c r="CA259" s="210"/>
      <c r="CB259" s="210"/>
      <c r="CC259" s="210"/>
      <c r="CD259" s="210"/>
    </row>
    <row r="260" spans="2:82" s="209" customFormat="1" ht="15.75" customHeight="1" hidden="1">
      <c r="B260" s="212"/>
      <c r="C260" s="245"/>
      <c r="D260" s="247"/>
      <c r="E260" s="247"/>
      <c r="F260" s="247"/>
      <c r="G260" s="34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10"/>
      <c r="AG260" s="210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  <c r="BZ260" s="210"/>
      <c r="CA260" s="210"/>
      <c r="CB260" s="210"/>
      <c r="CC260" s="210"/>
      <c r="CD260" s="210"/>
    </row>
    <row r="261" spans="2:82" s="209" customFormat="1" ht="15.75" customHeight="1" thickBot="1">
      <c r="B261" s="212"/>
      <c r="C261" s="245"/>
      <c r="D261" s="247"/>
      <c r="E261" s="226"/>
      <c r="F261" s="226"/>
      <c r="G261" s="332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  <c r="AF261" s="210"/>
      <c r="AG261" s="210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  <c r="BZ261" s="210"/>
      <c r="CA261" s="210"/>
      <c r="CB261" s="210"/>
      <c r="CC261" s="210"/>
      <c r="CD261" s="210"/>
    </row>
    <row r="262" spans="1:82" s="209" customFormat="1" ht="15.75" customHeight="1">
      <c r="A262" s="321" t="s">
        <v>76</v>
      </c>
      <c r="B262" s="322" t="s">
        <v>77</v>
      </c>
      <c r="C262" s="321" t="s">
        <v>79</v>
      </c>
      <c r="D262" s="321" t="s">
        <v>26</v>
      </c>
      <c r="E262" s="321" t="s">
        <v>26</v>
      </c>
      <c r="F262" s="313" t="s">
        <v>8</v>
      </c>
      <c r="G262" s="334" t="s">
        <v>360</v>
      </c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  <c r="BZ262" s="210"/>
      <c r="CA262" s="210"/>
      <c r="CB262" s="210"/>
      <c r="CC262" s="210"/>
      <c r="CD262" s="210"/>
    </row>
    <row r="263" spans="1:7" s="210" customFormat="1" ht="15.75" customHeight="1" thickBot="1">
      <c r="A263" s="323"/>
      <c r="B263" s="324"/>
      <c r="C263" s="325"/>
      <c r="D263" s="326" t="s">
        <v>28</v>
      </c>
      <c r="E263" s="326" t="s">
        <v>29</v>
      </c>
      <c r="F263" s="317" t="s">
        <v>30</v>
      </c>
      <c r="G263" s="335" t="s">
        <v>361</v>
      </c>
    </row>
    <row r="264" spans="1:7" s="210" customFormat="1" ht="16.5" thickTop="1">
      <c r="A264" s="230">
        <v>90</v>
      </c>
      <c r="B264" s="230"/>
      <c r="C264" s="232" t="s">
        <v>261</v>
      </c>
      <c r="D264" s="171"/>
      <c r="E264" s="171"/>
      <c r="F264" s="171"/>
      <c r="G264" s="341"/>
    </row>
    <row r="265" spans="1:7" s="210" customFormat="1" ht="15.75">
      <c r="A265" s="183"/>
      <c r="B265" s="269"/>
      <c r="C265" s="183"/>
      <c r="D265" s="185"/>
      <c r="E265" s="185"/>
      <c r="F265" s="185"/>
      <c r="G265" s="337"/>
    </row>
    <row r="266" spans="1:7" s="210" customFormat="1" ht="15">
      <c r="A266" s="150"/>
      <c r="B266" s="270">
        <v>5311</v>
      </c>
      <c r="C266" s="150" t="s">
        <v>526</v>
      </c>
      <c r="D266" s="185">
        <v>18862</v>
      </c>
      <c r="E266" s="185">
        <v>20923.2</v>
      </c>
      <c r="F266" s="185">
        <v>20021.5</v>
      </c>
      <c r="G266" s="337">
        <f>(F266/E266)*100</f>
        <v>95.69042976217787</v>
      </c>
    </row>
    <row r="267" spans="1:7" s="210" customFormat="1" ht="16.5" thickBot="1">
      <c r="A267" s="272"/>
      <c r="B267" s="272"/>
      <c r="C267" s="283"/>
      <c r="D267" s="284"/>
      <c r="E267" s="284"/>
      <c r="F267" s="284"/>
      <c r="G267" s="344"/>
    </row>
    <row r="268" spans="1:7" s="210" customFormat="1" ht="18.75" customHeight="1" thickBot="1" thickTop="1">
      <c r="A268" s="241"/>
      <c r="B268" s="282"/>
      <c r="C268" s="281" t="s">
        <v>527</v>
      </c>
      <c r="D268" s="244">
        <f>SUM(D264:D267)</f>
        <v>18862</v>
      </c>
      <c r="E268" s="244">
        <f>SUM(E264:E267)</f>
        <v>20923.2</v>
      </c>
      <c r="F268" s="244">
        <f>SUM(F264:F267)</f>
        <v>20021.5</v>
      </c>
      <c r="G268" s="339">
        <f>(F268/E268)*100</f>
        <v>95.69042976217787</v>
      </c>
    </row>
    <row r="269" spans="1:7" s="210" customFormat="1" ht="15.75" customHeight="1">
      <c r="A269" s="209"/>
      <c r="B269" s="212"/>
      <c r="C269" s="245"/>
      <c r="D269" s="247"/>
      <c r="E269" s="247"/>
      <c r="F269" s="247"/>
      <c r="G269" s="340"/>
    </row>
    <row r="270" spans="1:7" s="210" customFormat="1" ht="15.75" customHeight="1" thickBot="1">
      <c r="A270" s="209"/>
      <c r="B270" s="212"/>
      <c r="C270" s="245"/>
      <c r="D270" s="247"/>
      <c r="E270" s="247"/>
      <c r="F270" s="247"/>
      <c r="G270" s="340"/>
    </row>
    <row r="271" spans="1:82" s="209" customFormat="1" ht="15.75" customHeight="1">
      <c r="A271" s="321" t="s">
        <v>76</v>
      </c>
      <c r="B271" s="322" t="s">
        <v>77</v>
      </c>
      <c r="C271" s="321" t="s">
        <v>79</v>
      </c>
      <c r="D271" s="321" t="s">
        <v>26</v>
      </c>
      <c r="E271" s="321" t="s">
        <v>26</v>
      </c>
      <c r="F271" s="313" t="s">
        <v>8</v>
      </c>
      <c r="G271" s="334" t="s">
        <v>360</v>
      </c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  <c r="BZ271" s="210"/>
      <c r="CA271" s="210"/>
      <c r="CB271" s="210"/>
      <c r="CC271" s="210"/>
      <c r="CD271" s="210"/>
    </row>
    <row r="272" spans="1:7" s="210" customFormat="1" ht="15.75" customHeight="1" thickBot="1">
      <c r="A272" s="323"/>
      <c r="B272" s="324"/>
      <c r="C272" s="325"/>
      <c r="D272" s="326" t="s">
        <v>28</v>
      </c>
      <c r="E272" s="326" t="s">
        <v>29</v>
      </c>
      <c r="F272" s="317" t="s">
        <v>30</v>
      </c>
      <c r="G272" s="335" t="s">
        <v>361</v>
      </c>
    </row>
    <row r="273" spans="1:7" s="210" customFormat="1" ht="16.5" thickTop="1">
      <c r="A273" s="230">
        <v>100</v>
      </c>
      <c r="B273" s="230"/>
      <c r="C273" s="183" t="s">
        <v>269</v>
      </c>
      <c r="D273" s="171"/>
      <c r="E273" s="171"/>
      <c r="F273" s="171"/>
      <c r="G273" s="341"/>
    </row>
    <row r="274" spans="1:7" s="210" customFormat="1" ht="15.75">
      <c r="A274" s="183"/>
      <c r="B274" s="269"/>
      <c r="C274" s="183"/>
      <c r="D274" s="185"/>
      <c r="E274" s="185"/>
      <c r="F274" s="185"/>
      <c r="G274" s="337"/>
    </row>
    <row r="275" spans="1:7" s="210" customFormat="1" ht="15.75">
      <c r="A275" s="183"/>
      <c r="B275" s="269"/>
      <c r="C275" s="183"/>
      <c r="D275" s="185"/>
      <c r="E275" s="185"/>
      <c r="F275" s="185"/>
      <c r="G275" s="337"/>
    </row>
    <row r="276" spans="1:7" s="210" customFormat="1" ht="15.75">
      <c r="A276" s="269"/>
      <c r="B276" s="328">
        <v>2169</v>
      </c>
      <c r="C276" s="135" t="s">
        <v>528</v>
      </c>
      <c r="D276" s="136">
        <v>300</v>
      </c>
      <c r="E276" s="136">
        <v>266</v>
      </c>
      <c r="F276" s="136">
        <v>17.1</v>
      </c>
      <c r="G276" s="337">
        <f>(F276/E276)*100</f>
        <v>6.42857142857143</v>
      </c>
    </row>
    <row r="277" spans="1:7" s="210" customFormat="1" ht="15.75">
      <c r="A277" s="269"/>
      <c r="B277" s="328">
        <v>6171</v>
      </c>
      <c r="C277" s="135" t="s">
        <v>529</v>
      </c>
      <c r="D277" s="136">
        <v>0</v>
      </c>
      <c r="E277" s="136">
        <v>0</v>
      </c>
      <c r="F277" s="136"/>
      <c r="G277" s="337" t="e">
        <f>(F277/E277)*100</f>
        <v>#DIV/0!</v>
      </c>
    </row>
    <row r="278" spans="1:7" s="210" customFormat="1" ht="16.5" thickBot="1">
      <c r="A278" s="272"/>
      <c r="B278" s="329"/>
      <c r="C278" s="191"/>
      <c r="D278" s="192"/>
      <c r="E278" s="192"/>
      <c r="F278" s="192"/>
      <c r="G278" s="337"/>
    </row>
    <row r="279" spans="1:7" s="210" customFormat="1" ht="18.75" customHeight="1" thickBot="1" thickTop="1">
      <c r="A279" s="241"/>
      <c r="B279" s="282"/>
      <c r="C279" s="281" t="s">
        <v>530</v>
      </c>
      <c r="D279" s="244">
        <f>SUM(D273:D278)</f>
        <v>300</v>
      </c>
      <c r="E279" s="244">
        <f>SUM(E273:E278)</f>
        <v>266</v>
      </c>
      <c r="F279" s="244">
        <f>SUM(F273:F278)</f>
        <v>17.1</v>
      </c>
      <c r="G279" s="339">
        <f>(F279/E279)*100</f>
        <v>6.42857142857143</v>
      </c>
    </row>
    <row r="280" spans="1:7" s="210" customFormat="1" ht="15.75" customHeight="1">
      <c r="A280" s="209"/>
      <c r="B280" s="212"/>
      <c r="C280" s="245"/>
      <c r="D280" s="247"/>
      <c r="E280" s="247"/>
      <c r="F280" s="247"/>
      <c r="G280" s="340"/>
    </row>
    <row r="281" spans="1:7" s="210" customFormat="1" ht="15.75" customHeight="1" hidden="1">
      <c r="A281" s="209"/>
      <c r="B281" s="212"/>
      <c r="C281" s="245"/>
      <c r="D281" s="247"/>
      <c r="E281" s="247"/>
      <c r="F281" s="247"/>
      <c r="G281" s="340"/>
    </row>
    <row r="282" spans="2:7" s="210" customFormat="1" ht="15.75" customHeight="1" thickBot="1">
      <c r="B282" s="248"/>
      <c r="G282" s="309"/>
    </row>
    <row r="283" spans="1:7" s="210" customFormat="1" ht="15.75">
      <c r="A283" s="321" t="s">
        <v>76</v>
      </c>
      <c r="B283" s="322" t="s">
        <v>77</v>
      </c>
      <c r="C283" s="321" t="s">
        <v>79</v>
      </c>
      <c r="D283" s="321" t="s">
        <v>26</v>
      </c>
      <c r="E283" s="321" t="s">
        <v>26</v>
      </c>
      <c r="F283" s="313" t="s">
        <v>8</v>
      </c>
      <c r="G283" s="334" t="s">
        <v>360</v>
      </c>
    </row>
    <row r="284" spans="1:7" s="210" customFormat="1" ht="15.75" customHeight="1" thickBot="1">
      <c r="A284" s="323"/>
      <c r="B284" s="324"/>
      <c r="C284" s="325"/>
      <c r="D284" s="326" t="s">
        <v>28</v>
      </c>
      <c r="E284" s="326" t="s">
        <v>29</v>
      </c>
      <c r="F284" s="317" t="s">
        <v>30</v>
      </c>
      <c r="G284" s="335" t="s">
        <v>361</v>
      </c>
    </row>
    <row r="285" spans="1:7" s="210" customFormat="1" ht="16.5" thickTop="1">
      <c r="A285" s="230">
        <v>110</v>
      </c>
      <c r="B285" s="230"/>
      <c r="C285" s="232" t="s">
        <v>274</v>
      </c>
      <c r="D285" s="171"/>
      <c r="E285" s="171"/>
      <c r="F285" s="171"/>
      <c r="G285" s="341"/>
    </row>
    <row r="286" spans="1:7" s="210" customFormat="1" ht="15" customHeight="1">
      <c r="A286" s="183"/>
      <c r="B286" s="269"/>
      <c r="C286" s="183"/>
      <c r="D286" s="185"/>
      <c r="E286" s="185"/>
      <c r="F286" s="185"/>
      <c r="G286" s="337"/>
    </row>
    <row r="287" spans="1:7" s="210" customFormat="1" ht="15" customHeight="1">
      <c r="A287" s="150"/>
      <c r="B287" s="270">
        <v>6171</v>
      </c>
      <c r="C287" s="150" t="s">
        <v>531</v>
      </c>
      <c r="D287" s="185">
        <v>0</v>
      </c>
      <c r="E287" s="185">
        <v>0</v>
      </c>
      <c r="F287" s="271">
        <v>0</v>
      </c>
      <c r="G287" s="337" t="e">
        <f aca="true" t="shared" si="7" ref="G287:G292">(F287/E287)*100</f>
        <v>#DIV/0!</v>
      </c>
    </row>
    <row r="288" spans="1:7" s="210" customFormat="1" ht="15">
      <c r="A288" s="150"/>
      <c r="B288" s="270">
        <v>6310</v>
      </c>
      <c r="C288" s="150" t="s">
        <v>532</v>
      </c>
      <c r="D288" s="185">
        <v>1910</v>
      </c>
      <c r="E288" s="185">
        <v>2210.1</v>
      </c>
      <c r="F288" s="185">
        <v>1916.4</v>
      </c>
      <c r="G288" s="337">
        <f t="shared" si="7"/>
        <v>86.71100855164924</v>
      </c>
    </row>
    <row r="289" spans="1:7" s="210" customFormat="1" ht="15">
      <c r="A289" s="150"/>
      <c r="B289" s="270">
        <v>6399</v>
      </c>
      <c r="C289" s="150" t="s">
        <v>533</v>
      </c>
      <c r="D289" s="185">
        <v>13411</v>
      </c>
      <c r="E289" s="185">
        <v>12536.1</v>
      </c>
      <c r="F289" s="185">
        <v>10954.2</v>
      </c>
      <c r="G289" s="337">
        <f t="shared" si="7"/>
        <v>87.38124297030177</v>
      </c>
    </row>
    <row r="290" spans="1:7" s="210" customFormat="1" ht="15">
      <c r="A290" s="150"/>
      <c r="B290" s="270">
        <v>6402</v>
      </c>
      <c r="C290" s="150" t="s">
        <v>534</v>
      </c>
      <c r="D290" s="185">
        <v>0</v>
      </c>
      <c r="E290" s="185">
        <v>981.2</v>
      </c>
      <c r="F290" s="185">
        <v>981.1</v>
      </c>
      <c r="G290" s="337">
        <f t="shared" si="7"/>
        <v>99.98980839788014</v>
      </c>
    </row>
    <row r="291" spans="1:7" s="210" customFormat="1" ht="15">
      <c r="A291" s="150"/>
      <c r="B291" s="270">
        <v>6409</v>
      </c>
      <c r="C291" s="150" t="s">
        <v>535</v>
      </c>
      <c r="D291" s="185">
        <v>0</v>
      </c>
      <c r="E291" s="185">
        <v>0</v>
      </c>
      <c r="F291" s="185">
        <v>0</v>
      </c>
      <c r="G291" s="337" t="e">
        <f t="shared" si="7"/>
        <v>#DIV/0!</v>
      </c>
    </row>
    <row r="292" spans="1:7" s="215" customFormat="1" ht="20.25" customHeight="1">
      <c r="A292" s="232"/>
      <c r="B292" s="230">
        <v>6409</v>
      </c>
      <c r="C292" s="232" t="s">
        <v>536</v>
      </c>
      <c r="D292" s="285">
        <v>0</v>
      </c>
      <c r="E292" s="285">
        <v>0</v>
      </c>
      <c r="F292" s="251">
        <v>0</v>
      </c>
      <c r="G292" s="337" t="e">
        <f t="shared" si="7"/>
        <v>#DIV/0!</v>
      </c>
    </row>
    <row r="293" spans="1:7" s="210" customFormat="1" ht="15.75" thickBot="1">
      <c r="A293" s="274"/>
      <c r="B293" s="273"/>
      <c r="C293" s="274"/>
      <c r="D293" s="286"/>
      <c r="E293" s="286"/>
      <c r="F293" s="286"/>
      <c r="G293" s="345"/>
    </row>
    <row r="294" spans="1:7" s="210" customFormat="1" ht="18.75" customHeight="1" thickBot="1" thickTop="1">
      <c r="A294" s="241"/>
      <c r="B294" s="282"/>
      <c r="C294" s="281" t="s">
        <v>537</v>
      </c>
      <c r="D294" s="287">
        <f>SUM(D286:D292)</f>
        <v>15321</v>
      </c>
      <c r="E294" s="287">
        <f>SUM(E286:E292)</f>
        <v>15727.400000000001</v>
      </c>
      <c r="F294" s="287">
        <f>SUM(F286:F292)</f>
        <v>13851.7</v>
      </c>
      <c r="G294" s="339">
        <f>(F294/E294)*100</f>
        <v>88.07368032859848</v>
      </c>
    </row>
    <row r="295" spans="1:7" s="210" customFormat="1" ht="18.75" customHeight="1">
      <c r="A295" s="209"/>
      <c r="B295" s="212"/>
      <c r="C295" s="245"/>
      <c r="D295" s="247"/>
      <c r="E295" s="247"/>
      <c r="F295" s="247"/>
      <c r="G295" s="340"/>
    </row>
    <row r="296" spans="1:7" s="210" customFormat="1" ht="13.5" customHeight="1" hidden="1">
      <c r="A296" s="209"/>
      <c r="B296" s="212"/>
      <c r="C296" s="245"/>
      <c r="D296" s="247"/>
      <c r="E296" s="247"/>
      <c r="F296" s="247"/>
      <c r="G296" s="340"/>
    </row>
    <row r="297" spans="1:7" s="210" customFormat="1" ht="13.5" customHeight="1" hidden="1">
      <c r="A297" s="209"/>
      <c r="B297" s="212"/>
      <c r="C297" s="245"/>
      <c r="D297" s="247"/>
      <c r="E297" s="247"/>
      <c r="F297" s="247"/>
      <c r="G297" s="340"/>
    </row>
    <row r="298" spans="1:7" s="210" customFormat="1" ht="13.5" customHeight="1" hidden="1">
      <c r="A298" s="209"/>
      <c r="B298" s="212"/>
      <c r="C298" s="245"/>
      <c r="D298" s="247"/>
      <c r="E298" s="247"/>
      <c r="F298" s="247"/>
      <c r="G298" s="340"/>
    </row>
    <row r="299" spans="1:7" s="210" customFormat="1" ht="13.5" customHeight="1" hidden="1">
      <c r="A299" s="209"/>
      <c r="B299" s="212"/>
      <c r="C299" s="245"/>
      <c r="D299" s="247"/>
      <c r="E299" s="247"/>
      <c r="F299" s="247"/>
      <c r="G299" s="340"/>
    </row>
    <row r="300" spans="1:7" s="210" customFormat="1" ht="13.5" customHeight="1" hidden="1">
      <c r="A300" s="209"/>
      <c r="B300" s="212"/>
      <c r="C300" s="245"/>
      <c r="D300" s="247"/>
      <c r="E300" s="247"/>
      <c r="F300" s="247"/>
      <c r="G300" s="340"/>
    </row>
    <row r="301" spans="1:7" s="210" customFormat="1" ht="16.5" customHeight="1" hidden="1">
      <c r="A301" s="209"/>
      <c r="B301" s="212"/>
      <c r="C301" s="245"/>
      <c r="D301" s="247"/>
      <c r="E301" s="247"/>
      <c r="F301" s="247"/>
      <c r="G301" s="340"/>
    </row>
    <row r="302" spans="1:7" s="210" customFormat="1" ht="15.75" customHeight="1" thickBot="1">
      <c r="A302" s="209"/>
      <c r="B302" s="212"/>
      <c r="C302" s="245"/>
      <c r="D302" s="247"/>
      <c r="E302" s="247"/>
      <c r="F302" s="247"/>
      <c r="G302" s="340"/>
    </row>
    <row r="303" spans="1:7" s="210" customFormat="1" ht="15.75">
      <c r="A303" s="321" t="s">
        <v>76</v>
      </c>
      <c r="B303" s="322" t="s">
        <v>77</v>
      </c>
      <c r="C303" s="321" t="s">
        <v>79</v>
      </c>
      <c r="D303" s="321" t="s">
        <v>26</v>
      </c>
      <c r="E303" s="321" t="s">
        <v>26</v>
      </c>
      <c r="F303" s="313" t="s">
        <v>8</v>
      </c>
      <c r="G303" s="334" t="s">
        <v>360</v>
      </c>
    </row>
    <row r="304" spans="1:7" s="210" customFormat="1" ht="15.75" customHeight="1" thickBot="1">
      <c r="A304" s="323"/>
      <c r="B304" s="324"/>
      <c r="C304" s="325"/>
      <c r="D304" s="326" t="s">
        <v>28</v>
      </c>
      <c r="E304" s="326" t="s">
        <v>29</v>
      </c>
      <c r="F304" s="317" t="s">
        <v>30</v>
      </c>
      <c r="G304" s="335" t="s">
        <v>361</v>
      </c>
    </row>
    <row r="305" spans="1:7" s="210" customFormat="1" ht="16.5" thickTop="1">
      <c r="A305" s="230">
        <v>120</v>
      </c>
      <c r="B305" s="230"/>
      <c r="C305" s="169" t="s">
        <v>296</v>
      </c>
      <c r="D305" s="171"/>
      <c r="E305" s="171"/>
      <c r="F305" s="171"/>
      <c r="G305" s="341"/>
    </row>
    <row r="306" spans="1:7" s="210" customFormat="1" ht="15" customHeight="1">
      <c r="A306" s="183"/>
      <c r="B306" s="269"/>
      <c r="C306" s="169"/>
      <c r="D306" s="185"/>
      <c r="E306" s="185"/>
      <c r="F306" s="185"/>
      <c r="G306" s="337"/>
    </row>
    <row r="307" spans="1:7" s="210" customFormat="1" ht="15" customHeight="1">
      <c r="A307" s="183"/>
      <c r="B307" s="269"/>
      <c r="C307" s="169"/>
      <c r="D307" s="271"/>
      <c r="E307" s="271"/>
      <c r="F307" s="271"/>
      <c r="G307" s="337"/>
    </row>
    <row r="308" spans="1:7" s="210" customFormat="1" ht="15.75">
      <c r="A308" s="183"/>
      <c r="B308" s="270">
        <v>2310</v>
      </c>
      <c r="C308" s="150" t="s">
        <v>538</v>
      </c>
      <c r="D308" s="271">
        <v>30</v>
      </c>
      <c r="E308" s="271">
        <v>30</v>
      </c>
      <c r="F308" s="271">
        <v>0</v>
      </c>
      <c r="G308" s="337">
        <f aca="true" t="shared" si="8" ref="G308:G317">(F308/E308)*100</f>
        <v>0</v>
      </c>
    </row>
    <row r="309" spans="1:7" s="210" customFormat="1" ht="15.75" customHeight="1" hidden="1">
      <c r="A309" s="183"/>
      <c r="B309" s="270">
        <v>2321</v>
      </c>
      <c r="C309" s="150" t="s">
        <v>539</v>
      </c>
      <c r="D309" s="271">
        <v>0</v>
      </c>
      <c r="E309" s="271"/>
      <c r="F309" s="271"/>
      <c r="G309" s="337" t="e">
        <f t="shared" si="8"/>
        <v>#DIV/0!</v>
      </c>
    </row>
    <row r="310" spans="1:7" s="210" customFormat="1" ht="15">
      <c r="A310" s="150"/>
      <c r="B310" s="270">
        <v>3612</v>
      </c>
      <c r="C310" s="150" t="s">
        <v>540</v>
      </c>
      <c r="D310" s="185">
        <v>11384</v>
      </c>
      <c r="E310" s="185">
        <v>11024.5</v>
      </c>
      <c r="F310" s="185">
        <v>10263.9</v>
      </c>
      <c r="G310" s="337">
        <f t="shared" si="8"/>
        <v>93.10082089890697</v>
      </c>
    </row>
    <row r="311" spans="1:7" s="210" customFormat="1" ht="15">
      <c r="A311" s="150"/>
      <c r="B311" s="270">
        <v>3613</v>
      </c>
      <c r="C311" s="150" t="s">
        <v>541</v>
      </c>
      <c r="D311" s="185">
        <v>7086</v>
      </c>
      <c r="E311" s="185">
        <v>8280</v>
      </c>
      <c r="F311" s="185">
        <v>7187.5</v>
      </c>
      <c r="G311" s="337">
        <f t="shared" si="8"/>
        <v>86.80555555555556</v>
      </c>
    </row>
    <row r="312" spans="1:7" s="210" customFormat="1" ht="15">
      <c r="A312" s="150"/>
      <c r="B312" s="270">
        <v>3632</v>
      </c>
      <c r="C312" s="150" t="s">
        <v>409</v>
      </c>
      <c r="D312" s="185">
        <v>792</v>
      </c>
      <c r="E312" s="185">
        <v>1737</v>
      </c>
      <c r="F312" s="185">
        <v>1299.7</v>
      </c>
      <c r="G312" s="337">
        <f t="shared" si="8"/>
        <v>74.8244099021301</v>
      </c>
    </row>
    <row r="313" spans="1:7" s="210" customFormat="1" ht="15">
      <c r="A313" s="150"/>
      <c r="B313" s="270">
        <v>3634</v>
      </c>
      <c r="C313" s="150" t="s">
        <v>542</v>
      </c>
      <c r="D313" s="185">
        <v>800</v>
      </c>
      <c r="E313" s="185">
        <v>800</v>
      </c>
      <c r="F313" s="185">
        <v>794.5</v>
      </c>
      <c r="G313" s="337">
        <f t="shared" si="8"/>
        <v>99.3125</v>
      </c>
    </row>
    <row r="314" spans="1:7" s="210" customFormat="1" ht="15">
      <c r="A314" s="150"/>
      <c r="B314" s="270">
        <v>3639</v>
      </c>
      <c r="C314" s="150" t="s">
        <v>543</v>
      </c>
      <c r="D314" s="185">
        <f>12685.2-12112</f>
        <v>573.2000000000007</v>
      </c>
      <c r="E314" s="185">
        <f>14070.1-10412.4</f>
        <v>3657.7000000000007</v>
      </c>
      <c r="F314" s="185">
        <f>8421.8-5026.6</f>
        <v>3395.199999999999</v>
      </c>
      <c r="G314" s="337">
        <f t="shared" si="8"/>
        <v>92.82335894141121</v>
      </c>
    </row>
    <row r="315" spans="1:7" s="210" customFormat="1" ht="15" customHeight="1" hidden="1">
      <c r="A315" s="150"/>
      <c r="B315" s="270">
        <v>3639</v>
      </c>
      <c r="C315" s="150" t="s">
        <v>544</v>
      </c>
      <c r="D315" s="185">
        <v>0</v>
      </c>
      <c r="E315" s="185"/>
      <c r="F315" s="185"/>
      <c r="G315" s="337" t="e">
        <f t="shared" si="8"/>
        <v>#DIV/0!</v>
      </c>
    </row>
    <row r="316" spans="1:7" s="210" customFormat="1" ht="15">
      <c r="A316" s="150"/>
      <c r="B316" s="270">
        <v>3639</v>
      </c>
      <c r="C316" s="150" t="s">
        <v>545</v>
      </c>
      <c r="D316" s="185">
        <v>12112</v>
      </c>
      <c r="E316" s="185">
        <v>10412.4</v>
      </c>
      <c r="F316" s="185">
        <v>5026.6</v>
      </c>
      <c r="G316" s="337">
        <f t="shared" si="8"/>
        <v>48.27513349467943</v>
      </c>
    </row>
    <row r="317" spans="1:7" s="210" customFormat="1" ht="15">
      <c r="A317" s="150"/>
      <c r="B317" s="270">
        <v>3729</v>
      </c>
      <c r="C317" s="150" t="s">
        <v>546</v>
      </c>
      <c r="D317" s="185">
        <v>1</v>
      </c>
      <c r="E317" s="185">
        <v>1</v>
      </c>
      <c r="F317" s="185">
        <v>0.5</v>
      </c>
      <c r="G317" s="337">
        <f t="shared" si="8"/>
        <v>50</v>
      </c>
    </row>
    <row r="318" spans="1:7" s="210" customFormat="1" ht="15" customHeight="1" thickBot="1">
      <c r="A318" s="272"/>
      <c r="B318" s="272"/>
      <c r="C318" s="283"/>
      <c r="D318" s="286"/>
      <c r="E318" s="286"/>
      <c r="F318" s="286"/>
      <c r="G318" s="345"/>
    </row>
    <row r="319" spans="1:7" s="210" customFormat="1" ht="18.75" customHeight="1" thickBot="1" thickTop="1">
      <c r="A319" s="265"/>
      <c r="B319" s="282"/>
      <c r="C319" s="281" t="s">
        <v>547</v>
      </c>
      <c r="D319" s="287">
        <f>SUM(D308:D317)</f>
        <v>32778.2</v>
      </c>
      <c r="E319" s="287">
        <f>SUM(E308:E317)</f>
        <v>35942.6</v>
      </c>
      <c r="F319" s="287">
        <f>SUM(F308:F317)</f>
        <v>27967.9</v>
      </c>
      <c r="G319" s="339">
        <f>(F319/E319)*100</f>
        <v>77.81267910501745</v>
      </c>
    </row>
    <row r="320" spans="1:7" s="210" customFormat="1" ht="15.75" customHeight="1">
      <c r="A320" s="209"/>
      <c r="B320" s="212"/>
      <c r="C320" s="245"/>
      <c r="D320" s="247"/>
      <c r="E320" s="247"/>
      <c r="F320" s="247"/>
      <c r="G320" s="340"/>
    </row>
    <row r="321" spans="1:7" s="210" customFormat="1" ht="15.75" customHeight="1">
      <c r="A321" s="209"/>
      <c r="B321" s="212"/>
      <c r="C321" s="245"/>
      <c r="D321" s="247"/>
      <c r="E321" s="247"/>
      <c r="F321" s="247"/>
      <c r="G321" s="340"/>
    </row>
    <row r="322" s="210" customFormat="1" ht="15.75" customHeight="1" thickBot="1">
      <c r="G322" s="309"/>
    </row>
    <row r="323" spans="1:7" s="210" customFormat="1" ht="15.75">
      <c r="A323" s="321" t="s">
        <v>76</v>
      </c>
      <c r="B323" s="322" t="s">
        <v>77</v>
      </c>
      <c r="C323" s="321" t="s">
        <v>79</v>
      </c>
      <c r="D323" s="321" t="s">
        <v>26</v>
      </c>
      <c r="E323" s="321" t="s">
        <v>26</v>
      </c>
      <c r="F323" s="313" t="s">
        <v>8</v>
      </c>
      <c r="G323" s="334" t="s">
        <v>360</v>
      </c>
    </row>
    <row r="324" spans="1:7" s="210" customFormat="1" ht="15.75" customHeight="1" thickBot="1">
      <c r="A324" s="323"/>
      <c r="B324" s="324"/>
      <c r="C324" s="325"/>
      <c r="D324" s="326" t="s">
        <v>28</v>
      </c>
      <c r="E324" s="326" t="s">
        <v>29</v>
      </c>
      <c r="F324" s="317" t="s">
        <v>30</v>
      </c>
      <c r="G324" s="335" t="s">
        <v>361</v>
      </c>
    </row>
    <row r="325" spans="1:7" s="210" customFormat="1" ht="38.25" customHeight="1" thickBot="1" thickTop="1">
      <c r="A325" s="281"/>
      <c r="B325" s="288"/>
      <c r="C325" s="289" t="s">
        <v>548</v>
      </c>
      <c r="D325" s="290">
        <f>SUM(D36,D145,D171,D203,D233,D250,D268,D279,D294,D319,)</f>
        <v>492538.5</v>
      </c>
      <c r="E325" s="290">
        <f>SUM(E36,E145,E171,E203,E233,E250,E268,E279,E294,E319)</f>
        <v>532193.6</v>
      </c>
      <c r="F325" s="290">
        <f>SUM(F36,F145,F171,F203,F233,F250,F268,F279,F294,F319,)</f>
        <v>443168.00000000006</v>
      </c>
      <c r="G325" s="346">
        <f>(F325/E325)*100</f>
        <v>83.27195216176972</v>
      </c>
    </row>
    <row r="326" spans="1:7" ht="15">
      <c r="A326" s="146"/>
      <c r="B326" s="146"/>
      <c r="C326" s="146"/>
      <c r="D326" s="146"/>
      <c r="E326" s="146"/>
      <c r="F326" s="146"/>
      <c r="G326" s="294"/>
    </row>
    <row r="327" spans="1:7" ht="15" customHeight="1">
      <c r="A327" s="146"/>
      <c r="B327" s="146"/>
      <c r="C327" s="146"/>
      <c r="D327" s="146"/>
      <c r="E327" s="146"/>
      <c r="F327" s="146"/>
      <c r="G327" s="294"/>
    </row>
    <row r="328" spans="1:7" ht="15" customHeight="1">
      <c r="A328" s="146"/>
      <c r="B328" s="146"/>
      <c r="C328" s="146"/>
      <c r="D328" s="146"/>
      <c r="E328" s="146"/>
      <c r="F328" s="146"/>
      <c r="G328" s="294"/>
    </row>
    <row r="329" spans="1:7" ht="15" customHeight="1">
      <c r="A329" s="146"/>
      <c r="B329" s="146"/>
      <c r="C329" s="146"/>
      <c r="D329" s="146"/>
      <c r="E329" s="146"/>
      <c r="F329" s="146"/>
      <c r="G329" s="294"/>
    </row>
    <row r="330" spans="1:7" ht="15">
      <c r="A330" s="146"/>
      <c r="B330" s="146"/>
      <c r="C330" s="146"/>
      <c r="D330" s="146"/>
      <c r="E330" s="146"/>
      <c r="F330" s="146"/>
      <c r="G330" s="294"/>
    </row>
    <row r="331" spans="1:7" ht="15">
      <c r="A331" s="146"/>
      <c r="B331" s="146"/>
      <c r="C331" s="146"/>
      <c r="D331" s="146"/>
      <c r="E331" s="146"/>
      <c r="F331" s="146"/>
      <c r="G331" s="294"/>
    </row>
    <row r="332" spans="1:7" ht="15">
      <c r="A332" s="146"/>
      <c r="B332" s="146"/>
      <c r="C332" s="147"/>
      <c r="D332" s="146"/>
      <c r="E332" s="146"/>
      <c r="F332" s="146"/>
      <c r="G332" s="294"/>
    </row>
    <row r="333" spans="1:7" ht="15">
      <c r="A333" s="146"/>
      <c r="B333" s="146"/>
      <c r="C333" s="146"/>
      <c r="D333" s="146"/>
      <c r="E333" s="146"/>
      <c r="F333" s="146"/>
      <c r="G333" s="294"/>
    </row>
    <row r="334" spans="1:7" ht="15">
      <c r="A334" s="146"/>
      <c r="B334" s="146"/>
      <c r="C334" s="146"/>
      <c r="D334" s="146"/>
      <c r="E334" s="146"/>
      <c r="F334" s="146"/>
      <c r="G334" s="294"/>
    </row>
    <row r="335" spans="1:7" ht="15">
      <c r="A335" s="146"/>
      <c r="B335" s="146"/>
      <c r="C335" s="146"/>
      <c r="D335" s="146"/>
      <c r="E335" s="146"/>
      <c r="F335" s="146"/>
      <c r="G335" s="294"/>
    </row>
    <row r="336" spans="1:7" ht="15">
      <c r="A336" s="146"/>
      <c r="B336" s="146"/>
      <c r="C336" s="146"/>
      <c r="D336" s="146"/>
      <c r="E336" s="146"/>
      <c r="F336" s="146"/>
      <c r="G336" s="294"/>
    </row>
    <row r="337" spans="1:7" ht="15">
      <c r="A337" s="146"/>
      <c r="B337" s="146"/>
      <c r="C337" s="146"/>
      <c r="D337" s="146"/>
      <c r="E337" s="146"/>
      <c r="F337" s="146"/>
      <c r="G337" s="294"/>
    </row>
    <row r="338" spans="1:7" ht="15">
      <c r="A338" s="146"/>
      <c r="B338" s="146"/>
      <c r="C338" s="146"/>
      <c r="D338" s="146"/>
      <c r="E338" s="146"/>
      <c r="F338" s="146"/>
      <c r="G338" s="294"/>
    </row>
    <row r="339" spans="1:7" ht="15">
      <c r="A339" s="146"/>
      <c r="B339" s="146"/>
      <c r="C339" s="146"/>
      <c r="D339" s="146"/>
      <c r="E339" s="146"/>
      <c r="F339" s="146"/>
      <c r="G339" s="294"/>
    </row>
    <row r="340" spans="1:7" ht="15">
      <c r="A340" s="146"/>
      <c r="B340" s="146"/>
      <c r="C340" s="146"/>
      <c r="D340" s="146"/>
      <c r="E340" s="146"/>
      <c r="F340" s="146"/>
      <c r="G340" s="294"/>
    </row>
    <row r="341" spans="1:7" ht="15">
      <c r="A341" s="146"/>
      <c r="B341" s="146"/>
      <c r="C341" s="146"/>
      <c r="D341" s="146"/>
      <c r="E341" s="146"/>
      <c r="F341" s="146"/>
      <c r="G341" s="294"/>
    </row>
    <row r="342" spans="1:7" ht="15">
      <c r="A342" s="146"/>
      <c r="B342" s="146"/>
      <c r="C342" s="146"/>
      <c r="D342" s="146"/>
      <c r="E342" s="146"/>
      <c r="F342" s="146"/>
      <c r="G342" s="294"/>
    </row>
    <row r="343" spans="1:7" ht="15">
      <c r="A343" s="146"/>
      <c r="B343" s="146"/>
      <c r="C343" s="146"/>
      <c r="D343" s="146"/>
      <c r="E343" s="146"/>
      <c r="F343" s="146"/>
      <c r="G343" s="294"/>
    </row>
    <row r="344" spans="1:7" ht="15">
      <c r="A344" s="146"/>
      <c r="B344" s="146"/>
      <c r="C344" s="146"/>
      <c r="D344" s="146"/>
      <c r="E344" s="146"/>
      <c r="F344" s="146"/>
      <c r="G344" s="294"/>
    </row>
    <row r="345" spans="1:7" ht="15">
      <c r="A345" s="146"/>
      <c r="B345" s="146"/>
      <c r="C345" s="146"/>
      <c r="D345" s="146"/>
      <c r="E345" s="146"/>
      <c r="F345" s="146"/>
      <c r="G345" s="294"/>
    </row>
    <row r="346" spans="1:7" ht="15">
      <c r="A346" s="146"/>
      <c r="B346" s="146"/>
      <c r="C346" s="146"/>
      <c r="D346" s="146"/>
      <c r="E346" s="146"/>
      <c r="F346" s="146"/>
      <c r="G346" s="294"/>
    </row>
  </sheetData>
  <sheetProtection/>
  <printOptions/>
  <pageMargins left="0.4724409448818898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2014-02-04T10:48:07Z</cp:lastPrinted>
  <dcterms:created xsi:type="dcterms:W3CDTF">2014-01-29T10:29:51Z</dcterms:created>
  <dcterms:modified xsi:type="dcterms:W3CDTF">2014-04-23T14:16:55Z</dcterms:modified>
  <cp:category/>
  <cp:version/>
  <cp:contentType/>
  <cp:contentStatus/>
</cp:coreProperties>
</file>