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Město_příjmy " sheetId="1" r:id="rId1"/>
    <sheet name="Město_výdaje" sheetId="2" r:id="rId2"/>
    <sheet name="Rezerva" sheetId="3" r:id="rId3"/>
    <sheet name="Doplň. ukaz. 6_2010" sheetId="4" r:id="rId4"/>
    <sheet name="Tereza" sheetId="5" r:id="rId5"/>
    <sheet name="Muzeum" sheetId="6" r:id="rId6"/>
    <sheet name="Domov seniorů" sheetId="7" r:id="rId7"/>
    <sheet name="Domovní správa" sheetId="8" r:id="rId8"/>
    <sheet name="Knihovna" sheetId="9" r:id="rId9"/>
  </sheets>
  <definedNames/>
  <calcPr fullCalcOnLoad="1"/>
</workbook>
</file>

<file path=xl/sharedStrings.xml><?xml version="1.0" encoding="utf-8"?>
<sst xmlns="http://schemas.openxmlformats.org/spreadsheetml/2006/main" count="1432" uniqueCount="594">
  <si>
    <t xml:space="preserve">Město Břeclav </t>
  </si>
  <si>
    <t xml:space="preserve">                                       ROZPOČET  VÝDAJŮ  NA  ROK  2010</t>
  </si>
  <si>
    <t>tis. Kč</t>
  </si>
  <si>
    <t>ORJ</t>
  </si>
  <si>
    <t>Paragraf</t>
  </si>
  <si>
    <t>Text</t>
  </si>
  <si>
    <t>Rozpočet</t>
  </si>
  <si>
    <t>Skutečnost</t>
  </si>
  <si>
    <t xml:space="preserve">% </t>
  </si>
  <si>
    <t>schválený</t>
  </si>
  <si>
    <t>upravený</t>
  </si>
  <si>
    <t>1-2/2010</t>
  </si>
  <si>
    <t>1-6/2010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</si>
  <si>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</si>
  <si>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</si>
  <si>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</si>
  <si>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</si>
  <si>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</si>
  <si>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</si>
  <si>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</si>
  <si>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</si>
  <si>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</si>
  <si>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</si>
  <si>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</si>
  <si>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 xml:space="preserve">Činnosti muzeí a galerií   (Městské muzeum) -běžný provoz     </t>
  </si>
  <si>
    <t>Městské muzeum - provoz Lichtenštejnského domu</t>
  </si>
  <si>
    <t>Městské muzeum - Knížecí dům na pomezí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</si>
  <si>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</si>
  <si>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</si>
  <si>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</si>
  <si>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</si>
  <si>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</si>
  <si>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</si>
  <si>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</si>
  <si>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</si>
  <si>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</si>
  <si>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</si>
  <si>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</si>
  <si>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</si>
  <si>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</si>
  <si>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Ostatní neinvestič. výdaje j. n. - ostatní činnosti j. n.</t>
  </si>
  <si>
    <t>VÝDAJE ORJ 10  CELKEM</t>
  </si>
  <si>
    <t xml:space="preserve">ODBOR DOTACÍ A ROZVOJE </t>
  </si>
  <si>
    <t xml:space="preserve">Cestovní ruch </t>
  </si>
  <si>
    <t>Ostat. záležřtosti v silniční dopravě (smlouva-žádost o dot.na ek. autobusy)</t>
  </si>
  <si>
    <t>Silnice - nákup služeb - projekt přechody</t>
  </si>
  <si>
    <t>Pitná voda</t>
  </si>
  <si>
    <t>Odvádění a čištění odpadních vod   (havárie)</t>
  </si>
  <si>
    <t>Zachování a obnova kulturních památek</t>
  </si>
  <si>
    <t>Územní plánování - studie</t>
  </si>
  <si>
    <t>Územní rozvoj - poradenské, konzultač. a práv. služby (sml. EURO ONE)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</si>
  <si>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</si>
  <si>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</si>
  <si>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</si>
  <si>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Projektová a manažerská příprava na vybrané investiční akce</t>
  </si>
  <si>
    <t>Manažerská projektová příprava</t>
  </si>
  <si>
    <t>Mezisoučet</t>
  </si>
  <si>
    <t>Investiční akce r. 2009, přecházející do r. 2010, připravované nové akce</t>
  </si>
  <si>
    <t xml:space="preserve">Propagace LVA   </t>
  </si>
  <si>
    <t xml:space="preserve">Miniatury LVA  </t>
  </si>
  <si>
    <t>Komunikace Poštorná - Pod zahradama</t>
  </si>
  <si>
    <t xml:space="preserve">Komunikace (VAK -  Projekt Břeclavsko) </t>
  </si>
  <si>
    <t xml:space="preserve">Komunikace Slovácká </t>
  </si>
  <si>
    <t>Komunikace  Na zahradách</t>
  </si>
  <si>
    <t xml:space="preserve">Komunikace Česká, parkoviště Sovadinova, Gen. Šimka                      </t>
  </si>
  <si>
    <t>Rek. vozovky Pastevní a U Zbrodku</t>
  </si>
  <si>
    <t>Komunikace na Pohansko - investiční transfer Lesům ČR</t>
  </si>
  <si>
    <t>Valtická-úprava veřej. prostr., parkoviště IPRM</t>
  </si>
  <si>
    <t xml:space="preserve">Pěší zóna  - centrum J.Palacha </t>
  </si>
  <si>
    <t xml:space="preserve">Rekonstrukce nám. Ch. N. Ves - ul. Lednická-Tyršův sad (vl.podíl projektu)                            </t>
  </si>
  <si>
    <t xml:space="preserve">Rekonstrukce nám. St. Břeclav (u kapličky)                                                         </t>
  </si>
  <si>
    <t>Centrum - chodníky + chodník za Kinem Koruna</t>
  </si>
  <si>
    <t>Přístup k zámku od náměstí - studie</t>
  </si>
  <si>
    <t>Integr. přestupní terminál IDS JMK-studie</t>
  </si>
  <si>
    <t>MŠ-zateplení PD</t>
  </si>
  <si>
    <t>MŠ Slovácká-PD</t>
  </si>
  <si>
    <t>MŠ Osvobození-PD</t>
  </si>
  <si>
    <t>ZŠ Slovácká-PD stav. úpr., zateplení</t>
  </si>
  <si>
    <t>ZŠ Komenského, objekt šaten (PD)</t>
  </si>
  <si>
    <t>ZŠ Slovácká- vnitř. rek.</t>
  </si>
  <si>
    <t>ZŠ Kupkova-stav. Úpravy na provoz MŠ</t>
  </si>
  <si>
    <t>ZŠ-zateplení PD</t>
  </si>
  <si>
    <t>Knihovna Břeclav-okna, fasáda</t>
  </si>
  <si>
    <t>Kaple sv. Huberta</t>
  </si>
  <si>
    <t>Zámek Břeclav - revitalizace nemovité kult. památky</t>
  </si>
  <si>
    <t>Obnova kaple a prostr. židovského hřbitova - PD</t>
  </si>
  <si>
    <t>Památník J. A. Komenského</t>
  </si>
  <si>
    <t>Osvětlení památek a mostů</t>
  </si>
  <si>
    <t>MSK-zázemí, půdní vestavba</t>
  </si>
  <si>
    <t>Celková kolaudace zim. stadion BV</t>
  </si>
  <si>
    <t>Revitalizace sportovního areálu ZŠ Slovácká - z ÚSC</t>
  </si>
  <si>
    <r>
      <t xml:space="preserve">Revitalizace sportovního areálu ZŠ Slovácká - EU, SR                               </t>
    </r>
    <r>
      <rPr>
        <b/>
        <sz val="12"/>
        <rFont val="Arial"/>
        <family val="2"/>
      </rPr>
      <t xml:space="preserve">  X </t>
    </r>
  </si>
  <si>
    <t xml:space="preserve">Zimní stadion-přestavba na hotel </t>
  </si>
  <si>
    <t>Dětská hřiště Na Valtické</t>
  </si>
  <si>
    <t>Startovací byty Ch. N. Ves</t>
  </si>
  <si>
    <t>Kotelny-rekonstrukce střech</t>
  </si>
  <si>
    <t>Obřadní síň Poštorná</t>
  </si>
  <si>
    <t>Obřadní síň Stará Břeclav</t>
  </si>
  <si>
    <t>Obřadní síň Břeclav</t>
  </si>
  <si>
    <t>Hřbitovy (Ch.N.Ves, Poštorná) - chodníky PD</t>
  </si>
  <si>
    <t xml:space="preserve">Krytý bazén - havarie vany  </t>
  </si>
  <si>
    <t>Zámecký park</t>
  </si>
  <si>
    <t>Domov seniorů  Břeclav - balkony, okna, zateplení</t>
  </si>
  <si>
    <t>Stavební úpravy MÚ Břeclav I. etapa</t>
  </si>
  <si>
    <t>Investice celkem</t>
  </si>
  <si>
    <t xml:space="preserve">          z toho dotace se SR</t>
  </si>
  <si>
    <t>VÝDAJE ORJ 20 CELKEM</t>
  </si>
  <si>
    <t>ODBOR VNITŘNÍCH VĚCÍ</t>
  </si>
  <si>
    <t>Silnice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</si>
  <si>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</si>
  <si>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</si>
  <si>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</si>
  <si>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</si>
  <si>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Využití volného času dětí a mládeže - dětské hřiště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</si>
  <si>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</si>
  <si>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</si>
  <si>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</si>
  <si>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</si>
  <si>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</si>
  <si>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</si>
  <si>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Volby do Parlamentu ČR</t>
  </si>
  <si>
    <t>30+31</t>
  </si>
  <si>
    <t>Činnosti místní správy</t>
  </si>
  <si>
    <t>VÝDAJE ORJ 30 + 31  CELKEM</t>
  </si>
  <si>
    <t>ODBOR SOCIÁLNÍCH VĚCÍ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</si>
  <si>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</si>
  <si>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</si>
  <si>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</si>
  <si>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</si>
  <si>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</si>
  <si>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</si>
  <si>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</si>
  <si>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</si>
  <si>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 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</si>
  <si>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</si>
  <si>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</si>
  <si>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</si>
  <si>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</si>
  <si>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</si>
  <si>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</si>
  <si>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</si>
  <si>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</si>
  <si>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</si>
  <si>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</si>
  <si>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</si>
  <si>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</si>
  <si>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</si>
  <si>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</si>
  <si>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</si>
  <si>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</si>
  <si>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</si>
  <si>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</si>
  <si>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</si>
  <si>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Vnitřní správa - nákup sociálních poukázek</t>
  </si>
  <si>
    <t>Finanční vypořádání min. let - vratky poskytnutých transferů</t>
  </si>
  <si>
    <t>Ostatní činnosti jinde nezařazené - ostat. neivestiční výdaje</t>
  </si>
  <si>
    <t>VÝDAJE ORJ  50 CELKEM</t>
  </si>
  <si>
    <t>ODBOR ŽIVOTNÍHO PROSTŘEDÍ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</si>
  <si>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</si>
  <si>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</si>
  <si>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</si>
  <si>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</si>
  <si>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</si>
  <si>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</si>
  <si>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</si>
  <si>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</si>
  <si>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</si>
  <si>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</si>
  <si>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</si>
  <si>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Ostatní ochrana půdy a spodních vod</t>
  </si>
  <si>
    <t>Ochrana druhů a stanovišť</t>
  </si>
  <si>
    <t>Ostatní ochrana přírody - znalecké posudky</t>
  </si>
  <si>
    <t>VÝDAJE ORJ 60 CELKEM</t>
  </si>
  <si>
    <t>ODBOR SPRÁVNÍCH VĚCÍ A DOPRAVY</t>
  </si>
  <si>
    <t>Záležitosti pozem. komunikací j. n. - BESIP</t>
  </si>
  <si>
    <t>Provoz veřejné silniční dopravy - MHD - dotace na provoz</t>
  </si>
  <si>
    <t>Provoz veřejné silniční dopravy - MHD - dotace na investice (IDS)</t>
  </si>
  <si>
    <t>Provoz vnitrozemské plavby (Břeclav-Pohansko-Janohrad)</t>
  </si>
  <si>
    <t xml:space="preserve">Činnost místní správy - zálohy </t>
  </si>
  <si>
    <t>VÝDAJE ORJ 80 CELKEM</t>
  </si>
  <si>
    <t>MĚSTSKÁ POLICIE</t>
  </si>
  <si>
    <t xml:space="preserve">Bezpečnost a veřejný pořádek </t>
  </si>
  <si>
    <t>VÝDAJE ORJ  90 CELKEM</t>
  </si>
  <si>
    <t>ODBOR STAVEBNÍHO ŘÁDU A ÚP</t>
  </si>
  <si>
    <t>Územní plánování</t>
  </si>
  <si>
    <t>Stavební úřad</t>
  </si>
  <si>
    <t>ODBOR EKONOMICKÝ</t>
  </si>
  <si>
    <t>Program podpory individuál. byt. výstavby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</si>
  <si>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</si>
  <si>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</si>
  <si>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</si>
  <si>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</si>
  <si>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</si>
  <si>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</si>
  <si>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ODBOR MAJETKOVÝ A PRÁVNÍ</t>
  </si>
  <si>
    <t>Pitná voda (opravy a udržování,nákup ost. služeb)</t>
  </si>
  <si>
    <t>Odvádění a čištění odpadních vod a nakl. s kaly</t>
  </si>
  <si>
    <t>Bytové hospodářství - "BYT 2000"</t>
  </si>
  <si>
    <t xml:space="preserve">Bytové a nebytové hospodářství - Domovní správa Břeclav </t>
  </si>
  <si>
    <t>Bytové a nebytové hospodářství - Domovní správa Břeclav - bezúroč.  půjčka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</si>
  <si>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</si>
  <si>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</si>
  <si>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</si>
  <si>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</si>
  <si>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</si>
  <si>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</si>
  <si>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</si>
  <si>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Kapitálové výdaje</t>
  </si>
  <si>
    <t>Město Břeclav</t>
  </si>
  <si>
    <t>ROZPOČET PŘÍJMŮ NA ROK 2010</t>
  </si>
  <si>
    <t>Položka</t>
  </si>
  <si>
    <t>%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</si>
  <si>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</si>
  <si>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</si>
  <si>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</si>
  <si>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</si>
  <si>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nákup zvuk. knih</t>
  </si>
  <si>
    <t xml:space="preserve">Neinvestiční přijaté transfery od obcí na žáka </t>
  </si>
  <si>
    <t>Neinvestiční přijaté dotace od krajů - (na TIC)</t>
  </si>
  <si>
    <t>Odvody příspěvkových organizací - MŠ</t>
  </si>
  <si>
    <t>Odvody příspěvkových organizací - MŠ ke krytí inv. výd.</t>
  </si>
  <si>
    <t xml:space="preserve">Příjmy z poskyt. služeb - TIC </t>
  </si>
  <si>
    <t xml:space="preserve">Příjmy z prodeje zboží - TIC </t>
  </si>
  <si>
    <t>Ostatní nedaňové příjmy jinde nezařazené-Cestovní ruch</t>
  </si>
  <si>
    <t>Odvody příspěvkových organizací</t>
  </si>
  <si>
    <t>Ost. nedaň. příjmy - ZŠ -bude proveden přesun rozp. do 4121 dle smluv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</si>
  <si>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</si>
  <si>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</si>
  <si>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</si>
  <si>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</si>
  <si>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</si>
  <si>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</si>
  <si>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</si>
  <si>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Přijaté dary - zájmová činnost v kultuře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</si>
  <si>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</si>
  <si>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</si>
  <si>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</si>
  <si>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</si>
  <si>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</si>
  <si>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</si>
  <si>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</si>
  <si>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</si>
  <si>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</si>
  <si>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</si>
  <si>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</si>
  <si>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</si>
  <si>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</si>
  <si>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</si>
  <si>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Přijaté nekapitálové příspěvky a náhr. - mezinárod. spolupráce</t>
  </si>
  <si>
    <t>PŘÍJMY ORJ 10 CELKEM</t>
  </si>
  <si>
    <t xml:space="preserve">ODBOR DOTACÍ A ROZVOJE                  </t>
  </si>
  <si>
    <t>Inv. přij. transfery ze státních fondů - OPŽP-ZŠ Slovácká</t>
  </si>
  <si>
    <t>Inv. přij. transfery ze státních fondů - EU - OPŽP-MŠ Břetislavova</t>
  </si>
  <si>
    <t>Ostat. investič. přij. transf. ze SR-Valtická úpr. veř. prostr., park. IPRM</t>
  </si>
  <si>
    <t>Ostat. investič. přij. transf. ze SR-MŠ Břetislavova-podíl EU</t>
  </si>
  <si>
    <t xml:space="preserve">Investič. přij. transf. ROP- Revit.sport. areálu ZŠ Slovácká  </t>
  </si>
  <si>
    <t>Ostat. přij. investič. transf. ze SR-Revital. sport. areálu ZŠ Slovácká</t>
  </si>
  <si>
    <t>Přijaté nekapitál. přísp. a náhrady - pam. péče - Revital. zámku Břeclav</t>
  </si>
  <si>
    <t>Přijaté sankční poplatky - památková péče</t>
  </si>
  <si>
    <t>Přijaté nekapitál. přísp. a náhrady - památková péče</t>
  </si>
  <si>
    <t>Přijaté investiční příspěvky- Památník přátelství Poštorná-Zweetendorf</t>
  </si>
  <si>
    <t>PŘÍJMY ORJ 20 CELKEM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</si>
  <si>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</si>
  <si>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</si>
  <si>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</si>
  <si>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</si>
  <si>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SR-volby do Parlamentu ČR</t>
  </si>
  <si>
    <t>Neinvestič. přij. transf. ze SR-výk. st. spr. soc.-práv.ochr.dětí</t>
  </si>
  <si>
    <t>Neinvestič. přij. transf. ze SR-výk. st. spr. -sociální služby</t>
  </si>
  <si>
    <t>Ostat. neinv. přij. transfery ze SR a ESF - aktiv. politika zaměst.</t>
  </si>
  <si>
    <t>Neinvestiční přij. transfery od obcí a krajů</t>
  </si>
  <si>
    <t>Neinvestič. příj. transfery od krajů</t>
  </si>
  <si>
    <t xml:space="preserve">Převody z ostatních vlastních fondů </t>
  </si>
  <si>
    <t>Investiční přijaté transfery od krajů (SDH - vozidlo)</t>
  </si>
  <si>
    <t>Přijaté pojistné náhrady -silnice</t>
  </si>
  <si>
    <t>Přijaté nekapitálové příspěvky a náhrady - silnice</t>
  </si>
  <si>
    <t>Příjmy z poskytovaných služeb -  placené parkovací zóny</t>
  </si>
  <si>
    <t>Příjmy z prodeje ostat. hmot. dlouhodob.  maj. - silnice</t>
  </si>
  <si>
    <t>Příjmy z pronájmu movitých věcí - ost. zál. pozem. komunikací</t>
  </si>
  <si>
    <t>Ostat. nedaňové příjmy jinde nezařaz.-ost.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</si>
  <si>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</si>
  <si>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</si>
  <si>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</si>
  <si>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</si>
  <si>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</si>
  <si>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</si>
  <si>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</si>
  <si>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</si>
  <si>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</si>
  <si>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</si>
  <si>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</si>
  <si>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náhr.-sběr a svoz TKO</t>
  </si>
  <si>
    <t>Přijaté nekapitálové příspěvky a náhrady - péče o vzhled obcí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</si>
  <si>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</si>
  <si>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</si>
  <si>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</si>
  <si>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</si>
  <si>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</si>
  <si>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</si>
  <si>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</si>
  <si>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</si>
  <si>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</si>
  <si>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</si>
  <si>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</si>
  <si>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</si>
  <si>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</si>
  <si>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</si>
  <si>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</si>
  <si>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</si>
  <si>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</si>
  <si>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</si>
  <si>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</si>
  <si>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</si>
  <si>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</si>
  <si>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</si>
  <si>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</si>
  <si>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</si>
  <si>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</si>
  <si>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</si>
  <si>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</si>
  <si>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</si>
  <si>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</si>
  <si>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</si>
  <si>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</si>
  <si>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</si>
  <si>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</si>
  <si>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</si>
  <si>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</si>
  <si>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</si>
  <si>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</si>
  <si>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</si>
  <si>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</si>
  <si>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</si>
  <si>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</si>
  <si>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</si>
  <si>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</si>
  <si>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</si>
  <si>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</si>
  <si>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</si>
  <si>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Investiční přijaté transfery od krajů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</si>
  <si>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</si>
  <si>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</si>
  <si>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</si>
  <si>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</si>
  <si>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</si>
  <si>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</si>
  <si>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</si>
  <si>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</si>
  <si>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Příjmy za zkoušky z odborné způsobilosti (řidičská oprávnění)</t>
  </si>
  <si>
    <t>Ost. odvody z vybr. čin. a služ. j. n.</t>
  </si>
  <si>
    <t>Sankční poplatky</t>
  </si>
  <si>
    <t>Přijaté nekapitálové příspěvky jinde nezařazené</t>
  </si>
  <si>
    <t>Ostat. nedaňové příjmy jinde nezařazené-odbor správ. věcí a dopr.</t>
  </si>
  <si>
    <t>PŘÍJMY ORJ 80 CELKEM</t>
  </si>
  <si>
    <t>Neinv. příjaté dodace od obcí - veřejnoprávní smlouvy</t>
  </si>
  <si>
    <t>Příjmy z prodeje drob. a krátkodob. majetku</t>
  </si>
  <si>
    <t>Ostatní činnosti - neidentifikované platby</t>
  </si>
  <si>
    <t>PŘÍJMY ORJ 90 CELKEM</t>
  </si>
  <si>
    <t>Ostatní inv.přijaté transfery ze SR</t>
  </si>
  <si>
    <t>Přijaté příspěvky na investice</t>
  </si>
  <si>
    <t>PŘÍJMY ORJ 100 CELKEM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</si>
  <si>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</si>
  <si>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</si>
  <si>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</si>
  <si>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</si>
  <si>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</si>
  <si>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</si>
  <si>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</si>
  <si>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</si>
  <si>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</si>
  <si>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</si>
  <si>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</si>
  <si>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</si>
  <si>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</si>
  <si>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</si>
  <si>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</si>
  <si>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</si>
  <si>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</si>
  <si>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</si>
  <si>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</si>
  <si>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</si>
  <si>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</si>
  <si>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</si>
  <si>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</si>
  <si>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</si>
  <si>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</si>
  <si>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</si>
  <si>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</si>
  <si>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</si>
  <si>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</si>
  <si>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</si>
  <si>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</si>
  <si>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</si>
  <si>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</si>
  <si>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</si>
  <si>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</si>
  <si>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</si>
  <si>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Příjmy z pronájmu pozemků- územní rozvoj</t>
  </si>
  <si>
    <t>Ostatní  příjmy z vlastní činnosti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</si>
  <si>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</si>
  <si>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</si>
  <si>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</si>
  <si>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</si>
  <si>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</si>
  <si>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</si>
  <si>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</si>
  <si>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</si>
  <si>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</si>
  <si>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</si>
  <si>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</si>
  <si>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</si>
  <si>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</si>
  <si>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</si>
  <si>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</si>
  <si>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</si>
  <si>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</si>
  <si>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</si>
  <si>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</si>
  <si>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</si>
  <si>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</si>
  <si>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</si>
  <si>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</si>
  <si>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</si>
  <si>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</si>
  <si>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</si>
  <si>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</si>
  <si>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</si>
  <si>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</si>
  <si>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</si>
  <si>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</si>
  <si>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</si>
  <si>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</si>
  <si>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</si>
  <si>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</si>
  <si>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</si>
  <si>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</si>
  <si>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</si>
  <si>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Kraj: Jihomoravský</t>
  </si>
  <si>
    <t>Okres: Břeclav</t>
  </si>
  <si>
    <t>Město: Břeclav</t>
  </si>
  <si>
    <t xml:space="preserve">                    Tabulka doplňujících ukazatelů za období 1-6/2010</t>
  </si>
  <si>
    <t>v tis. Kč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</si>
  <si>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</si>
  <si>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</si>
  <si>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</si>
  <si>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</si>
  <si>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</si>
  <si>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</si>
  <si>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</si>
  <si>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</si>
  <si>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</si>
  <si>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</si>
  <si>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</si>
  <si>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</si>
  <si>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</si>
  <si>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</si>
  <si>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</si>
  <si>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</si>
  <si>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</si>
  <si>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Pasport vybraných rozvahových a výsledovkových položek</t>
  </si>
  <si>
    <t>Rozpočet na rok 2010</t>
  </si>
  <si>
    <t xml:space="preserve">Příspěvková organizace :   </t>
  </si>
  <si>
    <t>Městská knihovna Břeclav</t>
  </si>
  <si>
    <t>v  tisicích Kč, bez des.míst</t>
  </si>
  <si>
    <t>r.2010</t>
  </si>
  <si>
    <t>Plnění</t>
  </si>
  <si>
    <t>r.2000</t>
  </si>
  <si>
    <t>r.2001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</si>
  <si>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</si>
  <si>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</si>
  <si>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</si>
  <si>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</si>
  <si>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</si>
  <si>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</si>
  <si>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</si>
  <si>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</si>
  <si>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</si>
  <si>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</si>
  <si>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</si>
  <si>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</si>
  <si>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</si>
  <si>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</si>
  <si>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Fyzický stav pracovníků</t>
  </si>
  <si>
    <t>x</t>
  </si>
  <si>
    <t>Přepočtený stav pracovníků</t>
  </si>
  <si>
    <t>Dlouhodobý hmotný majetek</t>
  </si>
  <si>
    <t>A II, sl. 1</t>
  </si>
  <si>
    <t>Oprávky k DHIM</t>
  </si>
  <si>
    <t>A II, sl. 2</t>
  </si>
  <si>
    <t>Zásoby</t>
  </si>
  <si>
    <t>B I, sl. 1</t>
  </si>
  <si>
    <t>Pohledávky</t>
  </si>
  <si>
    <t>A IV+ B II, sl. 1</t>
  </si>
  <si>
    <t>Finanční majetek</t>
  </si>
  <si>
    <t>B IV, sl. 1</t>
  </si>
  <si>
    <t>AKTIVA CELKEM</t>
  </si>
  <si>
    <t>JMĚNÍ</t>
  </si>
  <si>
    <t>C I, sl. 1</t>
  </si>
  <si>
    <t>FONDY</t>
  </si>
  <si>
    <t>C II, sl. 1</t>
  </si>
  <si>
    <t>Dlouhodobé závazky</t>
  </si>
  <si>
    <t>D III, sl. 1</t>
  </si>
  <si>
    <t>Krátkodobé závazky</t>
  </si>
  <si>
    <t>D IV, sl. 1</t>
  </si>
  <si>
    <t>Bankovní úvěry</t>
  </si>
  <si>
    <t>D III 1+D IV 1, sl. 1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</si>
  <si>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</si>
  <si>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</si>
  <si>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</si>
  <si>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</si>
  <si>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SYU 501</t>
  </si>
  <si>
    <t>A I, ř. 1</t>
  </si>
  <si>
    <t>Spotřeba energií</t>
  </si>
  <si>
    <t>SYU 502</t>
  </si>
  <si>
    <t>A I, ř. 2</t>
  </si>
  <si>
    <t>Prodané zboží</t>
  </si>
  <si>
    <t>SYU 504</t>
  </si>
  <si>
    <t>A I, ř. 4</t>
  </si>
  <si>
    <t>Opravy a udržování</t>
  </si>
  <si>
    <t>SYU 511</t>
  </si>
  <si>
    <t>A I, ř. 5</t>
  </si>
  <si>
    <t>Ostatní služby</t>
  </si>
  <si>
    <t>SYU 518</t>
  </si>
  <si>
    <t>A I, ř. 8</t>
  </si>
  <si>
    <t xml:space="preserve">Mzdové náklady </t>
  </si>
  <si>
    <t>SYU 521</t>
  </si>
  <si>
    <t>A I, ř. 9</t>
  </si>
  <si>
    <t>Zákonné a ostatní odvody</t>
  </si>
  <si>
    <t>SYU 524-528</t>
  </si>
  <si>
    <t>A I, ř. 11-14</t>
  </si>
  <si>
    <t>Odpis pohledávek</t>
  </si>
  <si>
    <t>SYU 557</t>
  </si>
  <si>
    <t>A I, ř. 31</t>
  </si>
  <si>
    <t>Odpisy majetku</t>
  </si>
  <si>
    <t>SYU 551</t>
  </si>
  <si>
    <t>A I, ř. 25</t>
  </si>
  <si>
    <t>Ostátní náklady</t>
  </si>
  <si>
    <t>NÁKLADY CELKEM</t>
  </si>
  <si>
    <t>A I+A II+A III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</si>
  <si>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</si>
  <si>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</si>
  <si>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</si>
  <si>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</si>
  <si>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</si>
  <si>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</si>
  <si>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</si>
  <si>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</si>
  <si>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</si>
  <si>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Provozní dotace</t>
  </si>
  <si>
    <t>B IV</t>
  </si>
  <si>
    <t>Ostatní výnosy</t>
  </si>
  <si>
    <t>VÝNOSY CELKEM</t>
  </si>
  <si>
    <t>B I+B II+B IV</t>
  </si>
  <si>
    <t>Výnosy bez dotací</t>
  </si>
  <si>
    <t>Hospodářský výsledek</t>
  </si>
  <si>
    <t>(B I-B IV) - (A I-A III)</t>
  </si>
  <si>
    <t>Modifikovaný hospodářský výsledek</t>
  </si>
  <si>
    <t>TEREZA</t>
  </si>
  <si>
    <t>MUZEUM</t>
  </si>
  <si>
    <t>Domov seniorů</t>
  </si>
  <si>
    <t>Domovní správa</t>
  </si>
  <si>
    <t>Výnosy z nájemného</t>
  </si>
  <si>
    <t xml:space="preserve">REZERVA MĚSTA  U ORJ 110 - ODBOR EKONOMICKÝ                        § 6409 pol. 5901 </t>
  </si>
  <si>
    <t>Datum RM</t>
  </si>
  <si>
    <t>č. dokl.</t>
  </si>
  <si>
    <t>Zvýšení,snížení</t>
  </si>
  <si>
    <t>Zůstatek</t>
  </si>
  <si>
    <t>Účel</t>
  </si>
  <si>
    <t>neinv.</t>
  </si>
  <si>
    <t>inv.</t>
  </si>
  <si>
    <t>Schválený rozpočet -  nespecifikované rezervy § 6409, pol. 5901</t>
  </si>
  <si>
    <t>RM 83-Zvýšení rezervy - snížení rozpočtu na akci 10005 - Zámecký park (věcně RM č. 82-12.5.2010)</t>
  </si>
  <si>
    <t>RM 83-Zvýšení rezervy -snížení rozpočtu na akci 71002 - Pěší zóna J. Palacha(věcně RM č. 82-12.5.2010)</t>
  </si>
  <si>
    <t>Snížení rez.- navýšení na opr. komunik. a chodníků, úpr. veř. zeleně, opr. hřiště CH. N. Ves, zídka hřbit. St.BV</t>
  </si>
  <si>
    <t>Stav k 31. 5. 2010</t>
  </si>
  <si>
    <t>Zvýšení rozp. Tereza Břeclav - Zim. stadion-výměna desk. čpavk. výměníku (věcně RM 83-26.5.2010)</t>
  </si>
  <si>
    <t>Zvýšení rozpočtu na pol.  - drobný dlouhodobý hmotný majetek u OVV</t>
  </si>
  <si>
    <t>Zvýšení rozpočtu ZŠ - havarie odpadů soc. zaříz a opr. kanalizační přípojky ZŠ Komenského 2</t>
  </si>
  <si>
    <t>Zvýšení rozpočtu reprefondu -  na nákup věcných darů</t>
  </si>
  <si>
    <t>Stav k 30. 6. 2010</t>
  </si>
  <si>
    <t>Dotace SK Duhovka Břeclav na projekt "Podpora talentované mládeže-volejbal" (R M 85)</t>
  </si>
  <si>
    <t>TJ Tatran Poštorná na pořízení telefkopcké výsuv. tribuny (RM 85)</t>
  </si>
  <si>
    <t>MŠ Slovácká, MŠ Osvobození, ZŠ a MŠ Kupkova á 200 tis. Kč zvýšení příspěvků na provoz</t>
  </si>
  <si>
    <t>Břeclavský ochotnický spolek o. s. (RM 85)</t>
  </si>
  <si>
    <t>Stav k 7. 7. 2010 - RM 86</t>
  </si>
  <si>
    <t>Dotace o. s. JUNÁK - svaz skautů a skautek ČR na projekt "Břeclavské jamboree 2010"</t>
  </si>
  <si>
    <t>Příjem dotace EU a SFŽP - akce: ZŠ Slovácká - zateplení, MV ČR - dopl. akce: Systém včasné intervence</t>
  </si>
  <si>
    <t>Stav k 21. 7.  2010 - RM 87 bude schvalováno 21. 7. 2010</t>
  </si>
  <si>
    <t>další RM</t>
  </si>
  <si>
    <t>Kompenzace za vložené náklady do bytů v byt. domě Nár. hrdinů 20 (mat. RM 81 - 28. 4. 2010 č. 4/1/30)</t>
  </si>
  <si>
    <t>Zvýšení rozpočtu výdajů Městské policie na navýšení počtu pracovníků o 2 (mat. RM 86 - 7. 7. 2010)</t>
  </si>
  <si>
    <t>Zvýšení rozpočtu výdajů Městské policie na rozšíření kamerového systému-kostel Poštorná, hřiště CH. N. Ves</t>
  </si>
  <si>
    <t>V Břeclavi dne 15. 7. 2010</t>
  </si>
  <si>
    <t>Zpracovala: Helena Slatinská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</si>
</sst>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2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22"/>
      <name val="Arial CE"/>
      <family val="2"/>
    </font>
    <font>
      <b/>
      <sz val="12"/>
      <name val="Arial CE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 CE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16" borderId="2" applyNumberFormat="0" applyAlignment="0" applyProtection="0"/>
    <xf numFmtId="4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8" applyNumberFormat="0" applyAlignment="0" applyProtection="0"/>
    <xf numFmtId="0" fontId="54" fillId="19" borderId="8" applyNumberFormat="0" applyAlignment="0" applyProtection="0"/>
    <xf numFmtId="0" fontId="55" fillId="19" borderId="9" applyNumberFormat="0" applyAlignment="0" applyProtection="0"/>
    <xf numFmtId="0" fontId="5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4" xfId="46" applyFont="1" applyFill="1" applyBorder="1">
      <alignment/>
      <protection/>
    </xf>
    <xf numFmtId="0" fontId="7" fillId="0" borderId="14" xfId="46" applyFont="1" applyFill="1" applyBorder="1" applyAlignment="1">
      <alignment horizontal="left"/>
      <protection/>
    </xf>
    <xf numFmtId="0" fontId="7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3" xfId="46" applyFont="1" applyFill="1" applyBorder="1">
      <alignment/>
      <protection/>
    </xf>
    <xf numFmtId="0" fontId="7" fillId="0" borderId="13" xfId="46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0" fontId="7" fillId="0" borderId="25" xfId="46" applyFont="1" applyFill="1" applyBorder="1">
      <alignment/>
      <protection/>
    </xf>
    <xf numFmtId="0" fontId="7" fillId="0" borderId="23" xfId="46" applyFont="1" applyFill="1" applyBorder="1" applyAlignment="1">
      <alignment horizontal="right"/>
      <protection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" fontId="7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0" fontId="14" fillId="0" borderId="0" xfId="47" applyFont="1">
      <alignment/>
      <protection/>
    </xf>
    <xf numFmtId="0" fontId="15" fillId="0" borderId="0" xfId="47" applyFont="1">
      <alignment/>
      <protection/>
    </xf>
    <xf numFmtId="0" fontId="16" fillId="0" borderId="0" xfId="47" applyFont="1">
      <alignment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18" fillId="19" borderId="32" xfId="47" applyFont="1" applyFill="1" applyBorder="1" applyAlignment="1">
      <alignment horizontal="center" vertical="center"/>
      <protection/>
    </xf>
    <xf numFmtId="0" fontId="18" fillId="19" borderId="33" xfId="47" applyFont="1" applyFill="1" applyBorder="1" applyAlignment="1">
      <alignment horizontal="center" vertical="center"/>
      <protection/>
    </xf>
    <xf numFmtId="0" fontId="0" fillId="0" borderId="0" xfId="47" applyBorder="1">
      <alignment/>
      <protection/>
    </xf>
    <xf numFmtId="0" fontId="18" fillId="19" borderId="26" xfId="47" applyFont="1" applyFill="1" applyBorder="1" applyAlignment="1">
      <alignment horizontal="center" vertical="center"/>
      <protection/>
    </xf>
    <xf numFmtId="0" fontId="18" fillId="19" borderId="34" xfId="47" applyFont="1" applyFill="1" applyBorder="1" applyAlignment="1">
      <alignment horizontal="center" vertical="center"/>
      <protection/>
    </xf>
    <xf numFmtId="0" fontId="15" fillId="0" borderId="35" xfId="47" applyFont="1" applyBorder="1">
      <alignment/>
      <protection/>
    </xf>
    <xf numFmtId="4" fontId="15" fillId="0" borderId="11" xfId="47" applyNumberFormat="1" applyFont="1" applyBorder="1">
      <alignment/>
      <protection/>
    </xf>
    <xf numFmtId="4" fontId="15" fillId="0" borderId="36" xfId="47" applyNumberFormat="1" applyFont="1" applyBorder="1">
      <alignment/>
      <protection/>
    </xf>
    <xf numFmtId="0" fontId="15" fillId="0" borderId="37" xfId="47" applyFont="1" applyBorder="1">
      <alignment/>
      <protection/>
    </xf>
    <xf numFmtId="4" fontId="15" fillId="0" borderId="14" xfId="47" applyNumberFormat="1" applyFont="1" applyBorder="1">
      <alignment/>
      <protection/>
    </xf>
    <xf numFmtId="4" fontId="15" fillId="0" borderId="38" xfId="47" applyNumberFormat="1" applyFont="1" applyBorder="1">
      <alignment/>
      <protection/>
    </xf>
    <xf numFmtId="0" fontId="15" fillId="0" borderId="39" xfId="47" applyFont="1" applyBorder="1">
      <alignment/>
      <protection/>
    </xf>
    <xf numFmtId="0" fontId="16" fillId="0" borderId="40" xfId="47" applyFont="1" applyBorder="1">
      <alignment/>
      <protection/>
    </xf>
    <xf numFmtId="4" fontId="16" fillId="0" borderId="30" xfId="47" applyNumberFormat="1" applyFont="1" applyBorder="1">
      <alignment/>
      <protection/>
    </xf>
    <xf numFmtId="4" fontId="16" fillId="0" borderId="41" xfId="47" applyNumberFormat="1" applyFont="1" applyBorder="1">
      <alignment/>
      <protection/>
    </xf>
    <xf numFmtId="0" fontId="15" fillId="0" borderId="42" xfId="47" applyFont="1" applyBorder="1">
      <alignment/>
      <protection/>
    </xf>
    <xf numFmtId="4" fontId="15" fillId="0" borderId="17" xfId="47" applyNumberFormat="1" applyFont="1" applyBorder="1">
      <alignment/>
      <protection/>
    </xf>
    <xf numFmtId="4" fontId="15" fillId="0" borderId="43" xfId="47" applyNumberFormat="1" applyFont="1" applyBorder="1">
      <alignment/>
      <protection/>
    </xf>
    <xf numFmtId="0" fontId="0" fillId="0" borderId="31" xfId="47" applyBorder="1">
      <alignment/>
      <protection/>
    </xf>
    <xf numFmtId="0" fontId="16" fillId="0" borderId="44" xfId="47" applyFont="1" applyBorder="1">
      <alignment/>
      <protection/>
    </xf>
    <xf numFmtId="4" fontId="16" fillId="0" borderId="11" xfId="47" applyNumberFormat="1" applyFont="1" applyBorder="1">
      <alignment/>
      <protection/>
    </xf>
    <xf numFmtId="4" fontId="16" fillId="0" borderId="36" xfId="47" applyNumberFormat="1" applyFont="1" applyBorder="1">
      <alignment/>
      <protection/>
    </xf>
    <xf numFmtId="0" fontId="16" fillId="0" borderId="45" xfId="47" applyFont="1" applyFill="1" applyBorder="1">
      <alignment/>
      <protection/>
    </xf>
    <xf numFmtId="4" fontId="15" fillId="0" borderId="17" xfId="47" applyNumberFormat="1" applyFont="1" applyFill="1" applyBorder="1">
      <alignment/>
      <protection/>
    </xf>
    <xf numFmtId="4" fontId="15" fillId="0" borderId="43" xfId="47" applyNumberFormat="1" applyFont="1" applyFill="1" applyBorder="1">
      <alignment/>
      <protection/>
    </xf>
    <xf numFmtId="4" fontId="16" fillId="0" borderId="17" xfId="47" applyNumberFormat="1" applyFont="1" applyFill="1" applyBorder="1">
      <alignment/>
      <protection/>
    </xf>
    <xf numFmtId="4" fontId="16" fillId="0" borderId="43" xfId="47" applyNumberFormat="1" applyFont="1" applyFill="1" applyBorder="1">
      <alignment/>
      <protection/>
    </xf>
    <xf numFmtId="0" fontId="16" fillId="0" borderId="46" xfId="47" applyFont="1" applyBorder="1">
      <alignment/>
      <protection/>
    </xf>
    <xf numFmtId="4" fontId="16" fillId="0" borderId="27" xfId="47" applyNumberFormat="1" applyFont="1" applyFill="1" applyBorder="1">
      <alignment/>
      <protection/>
    </xf>
    <xf numFmtId="4" fontId="16" fillId="0" borderId="47" xfId="47" applyNumberFormat="1" applyFont="1" applyFill="1" applyBorder="1">
      <alignment/>
      <protection/>
    </xf>
    <xf numFmtId="0" fontId="0" fillId="0" borderId="0" xfId="47" applyFont="1">
      <alignment/>
      <protection/>
    </xf>
    <xf numFmtId="0" fontId="0" fillId="0" borderId="0" xfId="47" applyFont="1">
      <alignment/>
      <protection/>
    </xf>
    <xf numFmtId="14" fontId="7" fillId="0" borderId="0" xfId="47" applyNumberFormat="1" applyFont="1" applyAlignment="1">
      <alignment horizontal="left"/>
      <protection/>
    </xf>
    <xf numFmtId="0" fontId="7" fillId="0" borderId="0" xfId="47" applyFont="1">
      <alignment/>
      <protection/>
    </xf>
    <xf numFmtId="4" fontId="0" fillId="0" borderId="0" xfId="0" applyNumberFormat="1" applyFill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" fontId="4" fillId="0" borderId="48" xfId="46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4" fontId="4" fillId="0" borderId="16" xfId="46" applyNumberFormat="1" applyFont="1" applyFill="1" applyBorder="1" applyAlignment="1">
      <alignment horizontal="center"/>
      <protection/>
    </xf>
    <xf numFmtId="49" fontId="4" fillId="0" borderId="16" xfId="46" applyNumberFormat="1" applyFont="1" applyFill="1" applyBorder="1" applyAlignment="1">
      <alignment horizontal="center"/>
      <protection/>
    </xf>
    <xf numFmtId="164" fontId="7" fillId="0" borderId="13" xfId="0" applyNumberFormat="1" applyFont="1" applyFill="1" applyBorder="1" applyAlignment="1">
      <alignment/>
    </xf>
    <xf numFmtId="164" fontId="7" fillId="0" borderId="23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4" fillId="0" borderId="48" xfId="46" applyNumberFormat="1" applyFont="1" applyFill="1" applyBorder="1" applyAlignment="1">
      <alignment horizontal="center"/>
      <protection/>
    </xf>
    <xf numFmtId="164" fontId="4" fillId="0" borderId="16" xfId="46" applyNumberFormat="1" applyFont="1" applyFill="1" applyBorder="1" applyAlignment="1">
      <alignment horizontal="center"/>
      <protection/>
    </xf>
    <xf numFmtId="164" fontId="7" fillId="0" borderId="1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7" fillId="0" borderId="23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3" fontId="30" fillId="0" borderId="52" xfId="0" applyNumberFormat="1" applyFont="1" applyFill="1" applyBorder="1" applyAlignment="1">
      <alignment/>
    </xf>
    <xf numFmtId="3" fontId="30" fillId="0" borderId="18" xfId="0" applyNumberFormat="1" applyFont="1" applyFill="1" applyBorder="1" applyAlignment="1">
      <alignment vertical="center"/>
    </xf>
    <xf numFmtId="3" fontId="30" fillId="0" borderId="53" xfId="0" applyNumberFormat="1" applyFont="1" applyFill="1" applyBorder="1" applyAlignment="1">
      <alignment/>
    </xf>
    <xf numFmtId="3" fontId="30" fillId="0" borderId="54" xfId="0" applyNumberFormat="1" applyFont="1" applyFill="1" applyBorder="1" applyAlignment="1">
      <alignment/>
    </xf>
    <xf numFmtId="3" fontId="30" fillId="0" borderId="55" xfId="0" applyNumberFormat="1" applyFont="1" applyFill="1" applyBorder="1" applyAlignment="1">
      <alignment/>
    </xf>
    <xf numFmtId="3" fontId="30" fillId="0" borderId="56" xfId="0" applyNumberFormat="1" applyFont="1" applyFill="1" applyBorder="1" applyAlignment="1">
      <alignment/>
    </xf>
    <xf numFmtId="3" fontId="30" fillId="0" borderId="45" xfId="0" applyNumberFormat="1" applyFont="1" applyFill="1" applyBorder="1" applyAlignment="1">
      <alignment vertical="center"/>
    </xf>
    <xf numFmtId="3" fontId="31" fillId="0" borderId="5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19" borderId="57" xfId="47" applyFont="1" applyFill="1" applyBorder="1" applyAlignment="1">
      <alignment horizontal="center" vertical="center"/>
      <protection/>
    </xf>
    <xf numFmtId="0" fontId="15" fillId="0" borderId="58" xfId="47" applyFont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59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0" fillId="0" borderId="51" xfId="0" applyFont="1" applyFill="1" applyBorder="1" applyAlignment="1">
      <alignment/>
    </xf>
    <xf numFmtId="0" fontId="20" fillId="0" borderId="62" xfId="0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21" fillId="0" borderId="62" xfId="0" applyFont="1" applyFill="1" applyBorder="1" applyAlignment="1">
      <alignment horizontal="center"/>
    </xf>
    <xf numFmtId="0" fontId="20" fillId="0" borderId="64" xfId="0" applyFont="1" applyFill="1" applyBorder="1" applyAlignment="1">
      <alignment/>
    </xf>
    <xf numFmtId="0" fontId="20" fillId="0" borderId="65" xfId="0" applyFont="1" applyFill="1" applyBorder="1" applyAlignment="1">
      <alignment/>
    </xf>
    <xf numFmtId="0" fontId="26" fillId="0" borderId="65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0" fillId="0" borderId="45" xfId="0" applyFont="1" applyFill="1" applyBorder="1" applyAlignment="1">
      <alignment vertical="center"/>
    </xf>
    <xf numFmtId="0" fontId="21" fillId="0" borderId="69" xfId="0" applyFont="1" applyFill="1" applyBorder="1" applyAlignment="1">
      <alignment/>
    </xf>
    <xf numFmtId="0" fontId="0" fillId="0" borderId="69" xfId="0" applyFill="1" applyBorder="1" applyAlignment="1">
      <alignment/>
    </xf>
    <xf numFmtId="165" fontId="0" fillId="0" borderId="69" xfId="0" applyNumberFormat="1" applyFill="1" applyBorder="1" applyAlignment="1">
      <alignment/>
    </xf>
    <xf numFmtId="1" fontId="31" fillId="0" borderId="69" xfId="0" applyNumberFormat="1" applyFont="1" applyFill="1" applyBorder="1" applyAlignment="1">
      <alignment horizontal="right" vertical="center"/>
    </xf>
    <xf numFmtId="3" fontId="30" fillId="0" borderId="70" xfId="0" applyNumberFormat="1" applyFont="1" applyFill="1" applyBorder="1" applyAlignment="1">
      <alignment vertical="center"/>
    </xf>
    <xf numFmtId="3" fontId="30" fillId="0" borderId="71" xfId="0" applyNumberFormat="1" applyFont="1" applyFill="1" applyBorder="1" applyAlignment="1">
      <alignment vertical="center"/>
    </xf>
    <xf numFmtId="3" fontId="31" fillId="0" borderId="69" xfId="0" applyNumberFormat="1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vertical="center"/>
    </xf>
    <xf numFmtId="0" fontId="21" fillId="0" borderId="73" xfId="0" applyFont="1" applyFill="1" applyBorder="1" applyAlignment="1">
      <alignment/>
    </xf>
    <xf numFmtId="0" fontId="0" fillId="0" borderId="73" xfId="0" applyFill="1" applyBorder="1" applyAlignment="1">
      <alignment/>
    </xf>
    <xf numFmtId="165" fontId="0" fillId="0" borderId="73" xfId="0" applyNumberFormat="1" applyFill="1" applyBorder="1" applyAlignment="1">
      <alignment/>
    </xf>
    <xf numFmtId="2" fontId="30" fillId="0" borderId="74" xfId="0" applyNumberFormat="1" applyFont="1" applyFill="1" applyBorder="1" applyAlignment="1">
      <alignment/>
    </xf>
    <xf numFmtId="2" fontId="31" fillId="0" borderId="73" xfId="0" applyNumberFormat="1" applyFont="1" applyFill="1" applyBorder="1" applyAlignment="1">
      <alignment horizontal="right" vertical="center"/>
    </xf>
    <xf numFmtId="4" fontId="30" fillId="0" borderId="75" xfId="0" applyNumberFormat="1" applyFont="1" applyFill="1" applyBorder="1" applyAlignment="1">
      <alignment vertical="center"/>
    </xf>
    <xf numFmtId="4" fontId="30" fillId="0" borderId="68" xfId="0" applyNumberFormat="1" applyFont="1" applyFill="1" applyBorder="1" applyAlignment="1">
      <alignment vertical="center"/>
    </xf>
    <xf numFmtId="4" fontId="30" fillId="0" borderId="76" xfId="0" applyNumberFormat="1" applyFont="1" applyFill="1" applyBorder="1" applyAlignment="1">
      <alignment vertical="center"/>
    </xf>
    <xf numFmtId="2" fontId="30" fillId="0" borderId="68" xfId="0" applyNumberFormat="1" applyFont="1" applyFill="1" applyBorder="1" applyAlignment="1">
      <alignment vertical="center"/>
    </xf>
    <xf numFmtId="2" fontId="30" fillId="0" borderId="75" xfId="0" applyNumberFormat="1" applyFont="1" applyFill="1" applyBorder="1" applyAlignment="1">
      <alignment vertical="center"/>
    </xf>
    <xf numFmtId="164" fontId="31" fillId="0" borderId="74" xfId="0" applyNumberFormat="1" applyFont="1" applyFill="1" applyBorder="1" applyAlignment="1">
      <alignment vertical="center"/>
    </xf>
    <xf numFmtId="3" fontId="31" fillId="0" borderId="73" xfId="0" applyNumberFormat="1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/>
    </xf>
    <xf numFmtId="3" fontId="0" fillId="0" borderId="78" xfId="0" applyNumberFormat="1" applyFill="1" applyBorder="1" applyAlignment="1">
      <alignment/>
    </xf>
    <xf numFmtId="3" fontId="31" fillId="0" borderId="78" xfId="0" applyNumberFormat="1" applyFont="1" applyFill="1" applyBorder="1" applyAlignment="1">
      <alignment horizontal="center" vertical="center"/>
    </xf>
    <xf numFmtId="3" fontId="30" fillId="0" borderId="31" xfId="0" applyNumberFormat="1" applyFont="1" applyFill="1" applyBorder="1" applyAlignment="1">
      <alignment vertical="center"/>
    </xf>
    <xf numFmtId="3" fontId="30" fillId="0" borderId="79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13" xfId="0" applyNumberFormat="1" applyFont="1" applyFill="1" applyBorder="1" applyAlignment="1">
      <alignment vertical="center"/>
    </xf>
    <xf numFmtId="0" fontId="21" fillId="0" borderId="78" xfId="0" applyFont="1" applyFill="1" applyBorder="1" applyAlignment="1">
      <alignment/>
    </xf>
    <xf numFmtId="3" fontId="0" fillId="0" borderId="81" xfId="0" applyNumberFormat="1" applyFill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82" xfId="0" applyNumberFormat="1" applyFont="1" applyFill="1" applyBorder="1" applyAlignment="1">
      <alignment vertical="center"/>
    </xf>
    <xf numFmtId="0" fontId="32" fillId="0" borderId="69" xfId="0" applyFont="1" applyFill="1" applyBorder="1" applyAlignment="1">
      <alignment horizontal="center" vertical="center"/>
    </xf>
    <xf numFmtId="3" fontId="0" fillId="0" borderId="69" xfId="0" applyNumberFormat="1" applyFill="1" applyBorder="1" applyAlignment="1">
      <alignment/>
    </xf>
    <xf numFmtId="3" fontId="30" fillId="0" borderId="0" xfId="0" applyNumberFormat="1" applyFont="1" applyFill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1" fillId="0" borderId="61" xfId="0" applyFont="1" applyFill="1" applyBorder="1" applyAlignment="1">
      <alignment/>
    </xf>
    <xf numFmtId="0" fontId="33" fillId="0" borderId="61" xfId="0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/>
    </xf>
    <xf numFmtId="3" fontId="31" fillId="0" borderId="83" xfId="0" applyNumberFormat="1" applyFont="1" applyFill="1" applyBorder="1" applyAlignment="1">
      <alignment/>
    </xf>
    <xf numFmtId="3" fontId="31" fillId="0" borderId="61" xfId="0" applyNumberFormat="1" applyFont="1" applyFill="1" applyBorder="1" applyAlignment="1">
      <alignment horizontal="center" vertical="center"/>
    </xf>
    <xf numFmtId="3" fontId="31" fillId="0" borderId="60" xfId="0" applyNumberFormat="1" applyFont="1" applyFill="1" applyBorder="1" applyAlignment="1">
      <alignment vertical="center"/>
    </xf>
    <xf numFmtId="3" fontId="31" fillId="0" borderId="84" xfId="0" applyNumberFormat="1" applyFont="1" applyFill="1" applyBorder="1" applyAlignment="1">
      <alignment vertical="center"/>
    </xf>
    <xf numFmtId="3" fontId="31" fillId="0" borderId="85" xfId="0" applyNumberFormat="1" applyFont="1" applyFill="1" applyBorder="1" applyAlignment="1">
      <alignment vertical="center"/>
    </xf>
    <xf numFmtId="3" fontId="30" fillId="0" borderId="74" xfId="0" applyNumberFormat="1" applyFont="1" applyFill="1" applyBorder="1" applyAlignment="1">
      <alignment/>
    </xf>
    <xf numFmtId="0" fontId="20" fillId="0" borderId="64" xfId="0" applyFont="1" applyFill="1" applyBorder="1" applyAlignment="1">
      <alignment vertical="center"/>
    </xf>
    <xf numFmtId="0" fontId="34" fillId="0" borderId="86" xfId="0" applyFont="1" applyFill="1" applyBorder="1" applyAlignment="1">
      <alignment horizontal="center"/>
    </xf>
    <xf numFmtId="3" fontId="0" fillId="0" borderId="86" xfId="0" applyNumberFormat="1" applyFill="1" applyBorder="1" applyAlignment="1">
      <alignment/>
    </xf>
    <xf numFmtId="3" fontId="31" fillId="0" borderId="62" xfId="0" applyNumberFormat="1" applyFont="1" applyFill="1" applyBorder="1" applyAlignment="1">
      <alignment vertical="center"/>
    </xf>
    <xf numFmtId="3" fontId="30" fillId="0" borderId="65" xfId="0" applyNumberFormat="1" applyFont="1" applyFill="1" applyBorder="1" applyAlignment="1">
      <alignment vertical="center"/>
    </xf>
    <xf numFmtId="3" fontId="31" fillId="0" borderId="63" xfId="0" applyNumberFormat="1" applyFont="1" applyFill="1" applyBorder="1" applyAlignment="1">
      <alignment vertical="center"/>
    </xf>
    <xf numFmtId="164" fontId="31" fillId="0" borderId="62" xfId="0" applyNumberFormat="1" applyFont="1" applyFill="1" applyBorder="1" applyAlignment="1">
      <alignment vertical="center"/>
    </xf>
    <xf numFmtId="0" fontId="34" fillId="0" borderId="78" xfId="0" applyFont="1" applyFill="1" applyBorder="1" applyAlignment="1">
      <alignment horizontal="center"/>
    </xf>
    <xf numFmtId="3" fontId="31" fillId="0" borderId="78" xfId="0" applyNumberFormat="1" applyFont="1" applyFill="1" applyBorder="1" applyAlignment="1">
      <alignment vertical="center"/>
    </xf>
    <xf numFmtId="3" fontId="31" fillId="0" borderId="54" xfId="0" applyNumberFormat="1" applyFont="1" applyFill="1" applyBorder="1" applyAlignment="1">
      <alignment vertical="center"/>
    </xf>
    <xf numFmtId="164" fontId="31" fillId="0" borderId="78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4" fillId="0" borderId="66" xfId="0" applyFont="1" applyFill="1" applyBorder="1" applyAlignment="1">
      <alignment horizontal="center"/>
    </xf>
    <xf numFmtId="3" fontId="0" fillId="0" borderId="66" xfId="0" applyNumberFormat="1" applyFill="1" applyBorder="1" applyAlignment="1">
      <alignment/>
    </xf>
    <xf numFmtId="3" fontId="31" fillId="0" borderId="73" xfId="0" applyNumberFormat="1" applyFont="1" applyFill="1" applyBorder="1" applyAlignment="1">
      <alignment vertical="center"/>
    </xf>
    <xf numFmtId="3" fontId="30" fillId="0" borderId="67" xfId="0" applyNumberFormat="1" applyFont="1" applyFill="1" applyBorder="1" applyAlignment="1">
      <alignment vertical="center"/>
    </xf>
    <xf numFmtId="3" fontId="30" fillId="0" borderId="19" xfId="0" applyNumberFormat="1" applyFont="1" applyFill="1" applyBorder="1" applyAlignment="1">
      <alignment vertical="center"/>
    </xf>
    <xf numFmtId="3" fontId="31" fillId="0" borderId="55" xfId="0" applyNumberFormat="1" applyFont="1" applyFill="1" applyBorder="1" applyAlignment="1">
      <alignment vertical="center"/>
    </xf>
    <xf numFmtId="164" fontId="31" fillId="0" borderId="66" xfId="0" applyNumberFormat="1" applyFont="1" applyFill="1" applyBorder="1" applyAlignment="1">
      <alignment vertical="center"/>
    </xf>
    <xf numFmtId="0" fontId="20" fillId="0" borderId="86" xfId="0" applyFont="1" applyFill="1" applyBorder="1" applyAlignment="1">
      <alignment horizontal="center" vertical="center"/>
    </xf>
    <xf numFmtId="3" fontId="31" fillId="0" borderId="81" xfId="0" applyNumberFormat="1" applyFont="1" applyFill="1" applyBorder="1" applyAlignment="1">
      <alignment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3" fontId="31" fillId="0" borderId="87" xfId="0" applyNumberFormat="1" applyFont="1" applyFill="1" applyBorder="1" applyAlignment="1">
      <alignment vertical="center"/>
    </xf>
    <xf numFmtId="3" fontId="31" fillId="0" borderId="52" xfId="0" applyNumberFormat="1" applyFont="1" applyFill="1" applyBorder="1" applyAlignment="1">
      <alignment vertical="center"/>
    </xf>
    <xf numFmtId="164" fontId="31" fillId="0" borderId="69" xfId="0" applyNumberFormat="1" applyFont="1" applyFill="1" applyBorder="1" applyAlignment="1">
      <alignment vertical="center"/>
    </xf>
    <xf numFmtId="0" fontId="31" fillId="0" borderId="59" xfId="0" applyFont="1" applyFill="1" applyBorder="1" applyAlignment="1">
      <alignment vertical="center"/>
    </xf>
    <xf numFmtId="0" fontId="32" fillId="0" borderId="61" xfId="0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/>
    </xf>
    <xf numFmtId="3" fontId="31" fillId="0" borderId="61" xfId="0" applyNumberFormat="1" applyFont="1" applyFill="1" applyBorder="1" applyAlignment="1">
      <alignment vertical="center"/>
    </xf>
    <xf numFmtId="3" fontId="31" fillId="0" borderId="83" xfId="0" applyNumberFormat="1" applyFont="1" applyFill="1" applyBorder="1" applyAlignment="1">
      <alignment vertical="center"/>
    </xf>
    <xf numFmtId="164" fontId="31" fillId="0" borderId="61" xfId="0" applyNumberFormat="1" applyFont="1" applyFill="1" applyBorder="1" applyAlignment="1">
      <alignment vertical="center"/>
    </xf>
    <xf numFmtId="0" fontId="32" fillId="0" borderId="78" xfId="0" applyFont="1" applyFill="1" applyBorder="1" applyAlignment="1">
      <alignment/>
    </xf>
    <xf numFmtId="0" fontId="32" fillId="0" borderId="73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31" fillId="0" borderId="69" xfId="0" applyFont="1" applyFill="1" applyBorder="1" applyAlignment="1">
      <alignment/>
    </xf>
    <xf numFmtId="3" fontId="31" fillId="0" borderId="69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0" fontId="31" fillId="0" borderId="61" xfId="0" applyFont="1" applyFill="1" applyBorder="1" applyAlignment="1">
      <alignment/>
    </xf>
    <xf numFmtId="0" fontId="33" fillId="0" borderId="61" xfId="0" applyFont="1" applyFill="1" applyBorder="1" applyAlignment="1">
      <alignment horizontal="center"/>
    </xf>
    <xf numFmtId="0" fontId="36" fillId="0" borderId="61" xfId="0" applyFont="1" applyFill="1" applyBorder="1" applyAlignment="1">
      <alignment horizontal="center"/>
    </xf>
    <xf numFmtId="3" fontId="35" fillId="0" borderId="83" xfId="0" applyNumberFormat="1" applyFont="1" applyFill="1" applyBorder="1" applyAlignment="1">
      <alignment/>
    </xf>
    <xf numFmtId="3" fontId="31" fillId="0" borderId="59" xfId="0" applyNumberFormat="1" applyFont="1" applyFill="1" applyBorder="1" applyAlignment="1">
      <alignment vertical="center"/>
    </xf>
    <xf numFmtId="4" fontId="31" fillId="0" borderId="7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5" fontId="31" fillId="0" borderId="73" xfId="0" applyNumberFormat="1" applyFont="1" applyFill="1" applyBorder="1" applyAlignment="1">
      <alignment horizontal="right" vertical="center"/>
    </xf>
    <xf numFmtId="3" fontId="31" fillId="0" borderId="54" xfId="0" applyNumberFormat="1" applyFont="1" applyFill="1" applyBorder="1" applyAlignment="1">
      <alignment horizontal="right" vertical="center"/>
    </xf>
    <xf numFmtId="3" fontId="31" fillId="0" borderId="52" xfId="0" applyNumberFormat="1" applyFont="1" applyFill="1" applyBorder="1" applyAlignment="1">
      <alignment horizontal="right" vertical="center"/>
    </xf>
    <xf numFmtId="3" fontId="31" fillId="0" borderId="83" xfId="0" applyNumberFormat="1" applyFont="1" applyFill="1" applyBorder="1" applyAlignment="1">
      <alignment horizontal="right" vertical="center"/>
    </xf>
    <xf numFmtId="0" fontId="26" fillId="0" borderId="83" xfId="0" applyFont="1" applyFill="1" applyBorder="1" applyAlignment="1">
      <alignment horizontal="left" vertical="center"/>
    </xf>
    <xf numFmtId="0" fontId="37" fillId="0" borderId="0" xfId="48" applyFont="1" applyAlignment="1">
      <alignment horizontal="center"/>
      <protection/>
    </xf>
    <xf numFmtId="0" fontId="0" fillId="0" borderId="0" xfId="48">
      <alignment/>
      <protection/>
    </xf>
    <xf numFmtId="0" fontId="6" fillId="19" borderId="13" xfId="48" applyFont="1" applyFill="1" applyBorder="1" applyAlignment="1">
      <alignment horizontal="center"/>
      <protection/>
    </xf>
    <xf numFmtId="14" fontId="38" fillId="0" borderId="13" xfId="48" applyNumberFormat="1" applyFont="1" applyBorder="1">
      <alignment/>
      <protection/>
    </xf>
    <xf numFmtId="0" fontId="38" fillId="0" borderId="13" xfId="48" applyFont="1" applyBorder="1">
      <alignment/>
      <protection/>
    </xf>
    <xf numFmtId="4" fontId="39" fillId="0" borderId="13" xfId="48" applyNumberFormat="1" applyFont="1" applyBorder="1">
      <alignment/>
      <protection/>
    </xf>
    <xf numFmtId="4" fontId="37" fillId="0" borderId="13" xfId="48" applyNumberFormat="1" applyFont="1" applyBorder="1">
      <alignment/>
      <protection/>
    </xf>
    <xf numFmtId="0" fontId="39" fillId="0" borderId="13" xfId="48" applyFont="1" applyBorder="1">
      <alignment/>
      <protection/>
    </xf>
    <xf numFmtId="0" fontId="39" fillId="0" borderId="13" xfId="48" applyFont="1" applyBorder="1" applyAlignment="1">
      <alignment horizontal="center"/>
      <protection/>
    </xf>
    <xf numFmtId="4" fontId="0" fillId="0" borderId="13" xfId="48" applyNumberFormat="1" applyBorder="1">
      <alignment/>
      <protection/>
    </xf>
    <xf numFmtId="4" fontId="38" fillId="0" borderId="13" xfId="48" applyNumberFormat="1" applyFont="1" applyBorder="1">
      <alignment/>
      <protection/>
    </xf>
    <xf numFmtId="4" fontId="40" fillId="0" borderId="13" xfId="48" applyNumberFormat="1" applyFont="1" applyBorder="1">
      <alignment/>
      <protection/>
    </xf>
    <xf numFmtId="0" fontId="38" fillId="0" borderId="13" xfId="48" applyFont="1" applyBorder="1" applyAlignment="1">
      <alignment horizontal="center"/>
      <protection/>
    </xf>
    <xf numFmtId="0" fontId="37" fillId="0" borderId="13" xfId="48" applyFont="1" applyBorder="1">
      <alignment/>
      <protection/>
    </xf>
    <xf numFmtId="4" fontId="40" fillId="0" borderId="13" xfId="48" applyNumberFormat="1" applyFont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46" applyFont="1" applyFill="1" applyAlignment="1">
      <alignment/>
      <protection/>
    </xf>
    <xf numFmtId="0" fontId="5" fillId="0" borderId="0" xfId="0" applyFont="1" applyFill="1" applyAlignment="1">
      <alignment/>
    </xf>
    <xf numFmtId="0" fontId="37" fillId="0" borderId="0" xfId="48" applyFont="1" applyAlignment="1">
      <alignment horizontal="center"/>
      <protection/>
    </xf>
    <xf numFmtId="0" fontId="6" fillId="0" borderId="22" xfId="48" applyFont="1" applyBorder="1" applyAlignment="1">
      <alignment horizontal="right"/>
      <protection/>
    </xf>
    <xf numFmtId="0" fontId="17" fillId="0" borderId="0" xfId="47" applyFont="1" applyAlignment="1">
      <alignment horizontal="center"/>
      <protection/>
    </xf>
    <xf numFmtId="0" fontId="15" fillId="0" borderId="0" xfId="47" applyFont="1" applyAlignment="1">
      <alignment/>
      <protection/>
    </xf>
    <xf numFmtId="0" fontId="0" fillId="0" borderId="0" xfId="47" applyAlignment="1">
      <alignment/>
      <protection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Rezerva 2004 ORJ 110 - k 3110200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7"/>
  <sheetViews>
    <sheetView tabSelected="1" zoomScale="70" zoomScaleNormal="70" zoomScalePageLayoutView="0" workbookViewId="0" topLeftCell="D1">
      <selection activeCell="I18" sqref="I18"/>
    </sheetView>
  </sheetViews>
  <sheetFormatPr defaultColWidth="9.140625" defaultRowHeight="12.75"/>
  <cols>
    <col min="1" max="1" width="7.57421875" style="103" customWidth="1"/>
    <col min="2" max="3" width="10.28125" style="103" customWidth="1"/>
    <col min="4" max="4" width="75.00390625" style="103" customWidth="1"/>
    <col min="5" max="7" width="16.7109375" style="113" customWidth="1"/>
    <col min="8" max="8" width="11.421875" style="113" customWidth="1"/>
    <col min="9" max="16384" width="9.140625" style="103" customWidth="1"/>
  </cols>
  <sheetData>
    <row r="1" spans="1:8" ht="21.75" customHeight="1">
      <c r="A1" s="425" t="s">
        <v>208</v>
      </c>
      <c r="B1" s="426"/>
      <c r="C1" s="426"/>
      <c r="D1" s="100"/>
      <c r="E1" s="101"/>
      <c r="F1" s="101"/>
      <c r="G1" s="102"/>
      <c r="H1" s="102"/>
    </row>
    <row r="2" spans="1:8" ht="12.75" customHeight="1">
      <c r="A2" s="1"/>
      <c r="B2" s="2"/>
      <c r="C2" s="1"/>
      <c r="D2" s="104"/>
      <c r="E2" s="101"/>
      <c r="F2" s="101"/>
      <c r="G2" s="101"/>
      <c r="H2" s="101"/>
    </row>
    <row r="3" spans="1:8" s="2" customFormat="1" ht="20.25">
      <c r="A3" s="427" t="s">
        <v>209</v>
      </c>
      <c r="B3" s="427"/>
      <c r="C3" s="427"/>
      <c r="D3" s="426"/>
      <c r="E3" s="426"/>
      <c r="F3" s="214"/>
      <c r="G3" s="214"/>
      <c r="H3" s="214"/>
    </row>
    <row r="4" spans="1:8" s="2" customFormat="1" ht="15" customHeight="1" thickBot="1">
      <c r="A4" s="105"/>
      <c r="B4" s="105"/>
      <c r="C4" s="105"/>
      <c r="D4" s="105"/>
      <c r="E4" s="106"/>
      <c r="F4" s="106"/>
      <c r="G4" s="107" t="s">
        <v>2</v>
      </c>
      <c r="H4" s="106"/>
    </row>
    <row r="5" spans="1:8" ht="15.75">
      <c r="A5" s="215" t="s">
        <v>3</v>
      </c>
      <c r="B5" s="215" t="s">
        <v>4</v>
      </c>
      <c r="C5" s="215" t="s">
        <v>210</v>
      </c>
      <c r="D5" s="216" t="s">
        <v>5</v>
      </c>
      <c r="E5" s="217" t="s">
        <v>6</v>
      </c>
      <c r="F5" s="217" t="s">
        <v>6</v>
      </c>
      <c r="G5" s="217" t="s">
        <v>7</v>
      </c>
      <c r="H5" s="217" t="s">
        <v>211</v>
      </c>
    </row>
    <row r="6" spans="1:8" ht="15.75" customHeight="1" thickBot="1">
      <c r="A6" s="218"/>
      <c r="B6" s="218"/>
      <c r="C6" s="218"/>
      <c r="D6" s="219"/>
      <c r="E6" s="220" t="s">
        <v>9</v>
      </c>
      <c r="F6" s="220" t="s">
        <v>10</v>
      </c>
      <c r="G6" s="221" t="s">
        <v>12</v>
      </c>
      <c r="H6" s="220" t="s">
        <v>212</v>
      </c>
    </row>
    <row r="7" spans="1:8" ht="16.5" customHeight="1" thickTop="1">
      <c r="A7" s="108">
        <v>10</v>
      </c>
      <c r="B7" s="108"/>
      <c r="C7" s="108"/>
      <c r="D7" s="109" t="s">
        <v>213</v>
      </c>
      <c r="E7" s="110"/>
      <c r="F7" s="110"/>
      <c r="G7" s="110"/>
      <c r="H7" s="110"/>
    </row>
    <row r="8" spans="1:8" ht="15" customHeight="1">
      <c r="A8" s="108"/>
      <c r="B8" s="108"/>
      <c r="C8" s="108"/>
      <c r="D8" s="109"/>
      <c r="E8" s="110"/>
      <c r="F8" s="110"/>
      <c r="G8" s="110"/>
      <c r="H8" s="110"/>
    </row>
    <row r="9" spans="1:8" ht="15">
      <c r="A9" s="55"/>
      <c r="B9" s="55"/>
      <c r="C9" s="55">
        <v>1344</v>
      </c>
      <c r="D9" s="55" t="s">
        <v>214</v>
      </c>
      <c r="E9" s="82">
        <v>15</v>
      </c>
      <c r="F9" s="82">
        <v>15</v>
      </c>
      <c r="G9" s="82">
        <v>0</v>
      </c>
      <c r="H9" s="222">
        <f aca="true" t="shared" si="0" ref="H9:H44">(G9/F9)*100</f>
        <v>0</v>
      </c>
    </row>
    <row r="10" spans="1:8" ht="15">
      <c r="A10" s="55"/>
      <c r="B10" s="55"/>
      <c r="C10" s="55">
        <v>1361</v>
      </c>
      <c r="D10" s="55" t="s">
        <v>215</v>
      </c>
      <c r="E10" s="82">
        <v>15</v>
      </c>
      <c r="F10" s="82">
        <v>15</v>
      </c>
      <c r="G10" s="82">
        <v>15.7</v>
      </c>
      <c r="H10" s="222">
        <f t="shared" si="0"/>
        <v>104.66666666666666</v>
      </c>
    </row>
    <row r="11" spans="1:8" ht="15">
      <c r="A11" s="111"/>
      <c r="B11" s="111"/>
      <c r="C11" s="111">
        <v>4116</v>
      </c>
      <c r="D11" s="55" t="s">
        <v>216</v>
      </c>
      <c r="E11" s="83">
        <v>0</v>
      </c>
      <c r="F11" s="83">
        <v>16</v>
      </c>
      <c r="G11" s="83">
        <v>16</v>
      </c>
      <c r="H11" s="222">
        <f t="shared" si="0"/>
        <v>100</v>
      </c>
    </row>
    <row r="12" spans="1:8" ht="15">
      <c r="A12" s="111"/>
      <c r="B12" s="111"/>
      <c r="C12" s="111">
        <v>4121</v>
      </c>
      <c r="D12" s="111" t="s">
        <v>217</v>
      </c>
      <c r="E12" s="83">
        <v>0</v>
      </c>
      <c r="F12" s="83">
        <v>315</v>
      </c>
      <c r="G12" s="82">
        <v>308</v>
      </c>
      <c r="H12" s="222">
        <f t="shared" si="0"/>
        <v>97.77777777777777</v>
      </c>
    </row>
    <row r="13" spans="1:8" ht="15" hidden="1">
      <c r="A13" s="111"/>
      <c r="B13" s="111"/>
      <c r="C13" s="111">
        <v>4122</v>
      </c>
      <c r="D13" s="111" t="s">
        <v>218</v>
      </c>
      <c r="E13" s="112"/>
      <c r="F13" s="112"/>
      <c r="G13" s="83"/>
      <c r="H13" s="222" t="e">
        <f t="shared" si="0"/>
        <v>#DIV/0!</v>
      </c>
    </row>
    <row r="14" spans="1:8" ht="15" hidden="1">
      <c r="A14" s="111"/>
      <c r="B14" s="111">
        <v>3111</v>
      </c>
      <c r="C14" s="111">
        <v>2122</v>
      </c>
      <c r="D14" s="111" t="s">
        <v>219</v>
      </c>
      <c r="E14" s="112"/>
      <c r="F14" s="112"/>
      <c r="G14" s="83"/>
      <c r="H14" s="222" t="e">
        <f t="shared" si="0"/>
        <v>#DIV/0!</v>
      </c>
    </row>
    <row r="15" spans="1:8" ht="15" hidden="1">
      <c r="A15" s="111"/>
      <c r="B15" s="111">
        <v>3111</v>
      </c>
      <c r="C15" s="111">
        <v>2324</v>
      </c>
      <c r="D15" s="111" t="s">
        <v>220</v>
      </c>
      <c r="E15" s="112"/>
      <c r="F15" s="112"/>
      <c r="G15" s="83"/>
      <c r="H15" s="222" t="e">
        <f t="shared" si="0"/>
        <v>#DIV/0!</v>
      </c>
    </row>
    <row r="16" spans="1:8" ht="15" hidden="1">
      <c r="A16" s="111"/>
      <c r="B16" s="111"/>
      <c r="C16" s="111">
        <v>4122</v>
      </c>
      <c r="D16" s="111" t="s">
        <v>218</v>
      </c>
      <c r="E16" s="112">
        <v>0</v>
      </c>
      <c r="F16" s="112">
        <v>0</v>
      </c>
      <c r="G16" s="83"/>
      <c r="H16" s="222" t="e">
        <f t="shared" si="0"/>
        <v>#DIV/0!</v>
      </c>
    </row>
    <row r="17" spans="1:8" ht="15">
      <c r="A17" s="111"/>
      <c r="B17" s="111">
        <v>2143</v>
      </c>
      <c r="C17" s="111">
        <v>2111</v>
      </c>
      <c r="D17" s="111" t="s">
        <v>221</v>
      </c>
      <c r="E17" s="83">
        <v>300</v>
      </c>
      <c r="F17" s="83">
        <v>300</v>
      </c>
      <c r="G17" s="83">
        <v>236.3</v>
      </c>
      <c r="H17" s="222">
        <f t="shared" si="0"/>
        <v>78.76666666666668</v>
      </c>
    </row>
    <row r="18" spans="1:8" ht="15">
      <c r="A18" s="111"/>
      <c r="B18" s="111">
        <v>2143</v>
      </c>
      <c r="C18" s="111">
        <v>2112</v>
      </c>
      <c r="D18" s="111" t="s">
        <v>222</v>
      </c>
      <c r="E18" s="83">
        <v>450</v>
      </c>
      <c r="F18" s="83">
        <v>450</v>
      </c>
      <c r="G18" s="83">
        <v>294.8</v>
      </c>
      <c r="H18" s="222">
        <f t="shared" si="0"/>
        <v>65.5111111111111</v>
      </c>
    </row>
    <row r="19" spans="1:8" ht="15">
      <c r="A19" s="111"/>
      <c r="B19" s="111">
        <v>2143</v>
      </c>
      <c r="C19" s="111">
        <v>2329</v>
      </c>
      <c r="D19" s="111" t="s">
        <v>223</v>
      </c>
      <c r="E19" s="83">
        <v>0</v>
      </c>
      <c r="F19" s="83">
        <v>0</v>
      </c>
      <c r="G19" s="83">
        <v>3</v>
      </c>
      <c r="H19" s="222" t="e">
        <f t="shared" si="0"/>
        <v>#DIV/0!</v>
      </c>
    </row>
    <row r="20" spans="1:8" ht="15">
      <c r="A20" s="111"/>
      <c r="B20" s="111">
        <v>3113</v>
      </c>
      <c r="C20" s="111">
        <v>2122</v>
      </c>
      <c r="D20" s="111" t="s">
        <v>224</v>
      </c>
      <c r="E20" s="83">
        <v>330</v>
      </c>
      <c r="F20" s="83">
        <v>330</v>
      </c>
      <c r="G20" s="83">
        <v>0</v>
      </c>
      <c r="H20" s="222">
        <f t="shared" si="0"/>
        <v>0</v>
      </c>
    </row>
    <row r="21" spans="1:8" ht="15">
      <c r="A21" s="111"/>
      <c r="B21" s="111">
        <v>3113</v>
      </c>
      <c r="C21" s="111">
        <v>2329</v>
      </c>
      <c r="D21" s="111" t="s">
        <v>225</v>
      </c>
      <c r="E21" s="83">
        <v>220</v>
      </c>
      <c r="F21" s="83">
        <v>0</v>
      </c>
      <c r="G21" s="83">
        <v>0</v>
      </c>
      <c r="H21" s="222" t="e">
        <f t="shared" si="0"/>
        <v>#DIV/0!</v>
      </c>
    </row>
    <row r="22" spans="1:8" ht="15">
      <c r="A22" s="111"/>
      <c r="B22" s="111">
        <v>3313</v>
      </c>
      <c r="C22" s="111">
        <v>2132</v>
      </c>
      <c r="D22" s="111" t="s">
        <v>226</v>
      </c>
      <c r="E22" s="83">
        <v>350</v>
      </c>
      <c r="F22" s="83">
        <v>350</v>
      </c>
      <c r="G22" s="83">
        <v>0</v>
      </c>
      <c r="H22" s="222">
        <f t="shared" si="0"/>
        <v>0</v>
      </c>
    </row>
    <row r="23" spans="1:8" ht="15">
      <c r="A23" s="55"/>
      <c r="B23" s="55">
        <v>3313</v>
      </c>
      <c r="C23" s="55">
        <v>2324</v>
      </c>
      <c r="D23" s="55" t="s">
        <v>227</v>
      </c>
      <c r="E23" s="82">
        <v>0</v>
      </c>
      <c r="F23" s="82">
        <v>0</v>
      </c>
      <c r="G23" s="82">
        <v>20.2</v>
      </c>
      <c r="H23" s="222" t="e">
        <f t="shared" si="0"/>
        <v>#DIV/0!</v>
      </c>
    </row>
    <row r="24" spans="1:8" ht="15" hidden="1">
      <c r="A24" s="55"/>
      <c r="B24" s="55">
        <v>3392</v>
      </c>
      <c r="C24" s="55">
        <v>2329</v>
      </c>
      <c r="D24" s="55" t="s">
        <v>228</v>
      </c>
      <c r="E24" s="82"/>
      <c r="F24" s="82"/>
      <c r="G24" s="82"/>
      <c r="H24" s="222" t="e">
        <f t="shared" si="0"/>
        <v>#DIV/0!</v>
      </c>
    </row>
    <row r="25" spans="1:8" ht="15" hidden="1">
      <c r="A25" s="111"/>
      <c r="B25" s="111">
        <v>3314</v>
      </c>
      <c r="C25" s="111">
        <v>2229</v>
      </c>
      <c r="D25" s="111" t="s">
        <v>229</v>
      </c>
      <c r="E25" s="83"/>
      <c r="F25" s="83"/>
      <c r="G25" s="83"/>
      <c r="H25" s="222" t="e">
        <f t="shared" si="0"/>
        <v>#DIV/0!</v>
      </c>
    </row>
    <row r="26" spans="1:8" ht="15" hidden="1">
      <c r="A26" s="111"/>
      <c r="B26" s="111">
        <v>3315</v>
      </c>
      <c r="C26" s="111">
        <v>2322</v>
      </c>
      <c r="D26" s="111" t="s">
        <v>230</v>
      </c>
      <c r="E26" s="83"/>
      <c r="F26" s="83"/>
      <c r="G26" s="83"/>
      <c r="H26" s="222" t="e">
        <f t="shared" si="0"/>
        <v>#DIV/0!</v>
      </c>
    </row>
    <row r="27" spans="1:8" ht="15" hidden="1">
      <c r="A27" s="111"/>
      <c r="B27" s="111">
        <v>3319</v>
      </c>
      <c r="C27" s="111">
        <v>2324</v>
      </c>
      <c r="D27" s="111" t="s">
        <v>231</v>
      </c>
      <c r="E27" s="83"/>
      <c r="F27" s="83"/>
      <c r="G27" s="83"/>
      <c r="H27" s="222" t="e">
        <f t="shared" si="0"/>
        <v>#DIV/0!</v>
      </c>
    </row>
    <row r="28" spans="1:8" ht="15">
      <c r="A28" s="111"/>
      <c r="B28" s="111">
        <v>3349</v>
      </c>
      <c r="C28" s="111">
        <v>2111</v>
      </c>
      <c r="D28" s="111" t="s">
        <v>232</v>
      </c>
      <c r="E28" s="83">
        <v>1300</v>
      </c>
      <c r="F28" s="83">
        <v>1300</v>
      </c>
      <c r="G28" s="83">
        <v>658.3</v>
      </c>
      <c r="H28" s="222">
        <f t="shared" si="0"/>
        <v>50.638461538461534</v>
      </c>
    </row>
    <row r="29" spans="1:8" ht="15" hidden="1">
      <c r="A29" s="111"/>
      <c r="B29" s="111">
        <v>3392</v>
      </c>
      <c r="C29" s="111">
        <v>3121</v>
      </c>
      <c r="D29" s="111" t="s">
        <v>233</v>
      </c>
      <c r="E29" s="83">
        <v>0</v>
      </c>
      <c r="F29" s="83">
        <v>0</v>
      </c>
      <c r="G29" s="83"/>
      <c r="H29" s="222" t="e">
        <f t="shared" si="0"/>
        <v>#DIV/0!</v>
      </c>
    </row>
    <row r="30" spans="1:8" ht="15">
      <c r="A30" s="111"/>
      <c r="B30" s="111">
        <v>3399</v>
      </c>
      <c r="C30" s="111">
        <v>2111</v>
      </c>
      <c r="D30" s="111" t="s">
        <v>234</v>
      </c>
      <c r="E30" s="83">
        <v>200</v>
      </c>
      <c r="F30" s="83">
        <v>200</v>
      </c>
      <c r="G30" s="83">
        <v>207.4</v>
      </c>
      <c r="H30" s="222">
        <f t="shared" si="0"/>
        <v>103.69999999999999</v>
      </c>
    </row>
    <row r="31" spans="1:8" ht="15">
      <c r="A31" s="111"/>
      <c r="B31" s="111">
        <v>3399</v>
      </c>
      <c r="C31" s="111">
        <v>2133</v>
      </c>
      <c r="D31" s="111" t="s">
        <v>235</v>
      </c>
      <c r="E31" s="83">
        <v>50</v>
      </c>
      <c r="F31" s="83">
        <v>50</v>
      </c>
      <c r="G31" s="83">
        <v>3</v>
      </c>
      <c r="H31" s="222">
        <f t="shared" si="0"/>
        <v>6</v>
      </c>
    </row>
    <row r="32" spans="1:8" ht="15">
      <c r="A32" s="111"/>
      <c r="B32" s="111">
        <v>3399</v>
      </c>
      <c r="C32" s="111">
        <v>2321</v>
      </c>
      <c r="D32" s="111" t="s">
        <v>236</v>
      </c>
      <c r="E32" s="83">
        <v>20</v>
      </c>
      <c r="F32" s="83">
        <v>20</v>
      </c>
      <c r="G32" s="83">
        <v>30</v>
      </c>
      <c r="H32" s="222">
        <f t="shared" si="0"/>
        <v>150</v>
      </c>
    </row>
    <row r="33" spans="1:8" ht="15">
      <c r="A33" s="111"/>
      <c r="B33" s="111">
        <v>3399</v>
      </c>
      <c r="C33" s="111">
        <v>2324</v>
      </c>
      <c r="D33" s="111" t="s">
        <v>237</v>
      </c>
      <c r="E33" s="83">
        <v>0</v>
      </c>
      <c r="F33" s="83">
        <v>0</v>
      </c>
      <c r="G33" s="83">
        <v>368.3</v>
      </c>
      <c r="H33" s="222" t="e">
        <f t="shared" si="0"/>
        <v>#DIV/0!</v>
      </c>
    </row>
    <row r="34" spans="1:8" ht="15" hidden="1">
      <c r="A34" s="55"/>
      <c r="B34" s="55">
        <v>3319</v>
      </c>
      <c r="C34" s="55">
        <v>2324</v>
      </c>
      <c r="D34" s="55" t="s">
        <v>238</v>
      </c>
      <c r="E34" s="83"/>
      <c r="F34" s="83"/>
      <c r="G34" s="83"/>
      <c r="H34" s="222" t="e">
        <f t="shared" si="0"/>
        <v>#DIV/0!</v>
      </c>
    </row>
    <row r="35" spans="1:8" ht="15" hidden="1">
      <c r="A35" s="55"/>
      <c r="B35" s="55">
        <v>3392</v>
      </c>
      <c r="C35" s="55">
        <v>2324</v>
      </c>
      <c r="D35" s="55" t="s">
        <v>238</v>
      </c>
      <c r="E35" s="83"/>
      <c r="F35" s="83"/>
      <c r="G35" s="83"/>
      <c r="H35" s="222" t="e">
        <f t="shared" si="0"/>
        <v>#DIV/0!</v>
      </c>
    </row>
    <row r="36" spans="1:8" ht="15" hidden="1">
      <c r="A36" s="55"/>
      <c r="B36" s="55">
        <v>3412</v>
      </c>
      <c r="C36" s="55">
        <v>2122</v>
      </c>
      <c r="D36" s="55" t="s">
        <v>239</v>
      </c>
      <c r="E36" s="83"/>
      <c r="F36" s="83"/>
      <c r="G36" s="83"/>
      <c r="H36" s="222" t="e">
        <f t="shared" si="0"/>
        <v>#DIV/0!</v>
      </c>
    </row>
    <row r="37" spans="1:8" ht="15" hidden="1">
      <c r="A37" s="111"/>
      <c r="B37" s="111">
        <v>3412</v>
      </c>
      <c r="C37" s="111">
        <v>2324</v>
      </c>
      <c r="D37" s="111" t="s">
        <v>240</v>
      </c>
      <c r="E37" s="83"/>
      <c r="F37" s="83"/>
      <c r="G37" s="83"/>
      <c r="H37" s="222" t="e">
        <f t="shared" si="0"/>
        <v>#DIV/0!</v>
      </c>
    </row>
    <row r="38" spans="1:8" ht="15" hidden="1">
      <c r="A38" s="111"/>
      <c r="B38" s="111">
        <v>3412</v>
      </c>
      <c r="C38" s="111">
        <v>2329</v>
      </c>
      <c r="D38" s="111" t="s">
        <v>241</v>
      </c>
      <c r="E38" s="83"/>
      <c r="F38" s="83"/>
      <c r="G38" s="83"/>
      <c r="H38" s="222" t="e">
        <f t="shared" si="0"/>
        <v>#DIV/0!</v>
      </c>
    </row>
    <row r="39" spans="1:8" ht="15">
      <c r="A39" s="111"/>
      <c r="B39" s="111">
        <v>3419</v>
      </c>
      <c r="C39" s="111">
        <v>2132</v>
      </c>
      <c r="D39" s="111" t="s">
        <v>242</v>
      </c>
      <c r="E39" s="83">
        <v>700</v>
      </c>
      <c r="F39" s="83">
        <v>700</v>
      </c>
      <c r="G39" s="83">
        <v>150</v>
      </c>
      <c r="H39" s="222">
        <f t="shared" si="0"/>
        <v>21.428571428571427</v>
      </c>
    </row>
    <row r="40" spans="1:8" ht="15" hidden="1">
      <c r="A40" s="111"/>
      <c r="B40" s="111">
        <v>3419</v>
      </c>
      <c r="C40" s="111">
        <v>2229</v>
      </c>
      <c r="D40" s="111" t="s">
        <v>243</v>
      </c>
      <c r="E40" s="83"/>
      <c r="F40" s="83"/>
      <c r="G40" s="83"/>
      <c r="H40" s="222" t="e">
        <f t="shared" si="0"/>
        <v>#DIV/0!</v>
      </c>
    </row>
    <row r="41" spans="1:8" ht="15">
      <c r="A41" s="111"/>
      <c r="B41" s="111">
        <v>3421</v>
      </c>
      <c r="C41" s="111">
        <v>2132</v>
      </c>
      <c r="D41" s="111" t="s">
        <v>244</v>
      </c>
      <c r="E41" s="83">
        <v>50</v>
      </c>
      <c r="F41" s="83">
        <v>50</v>
      </c>
      <c r="G41" s="83">
        <v>65</v>
      </c>
      <c r="H41" s="222">
        <f t="shared" si="0"/>
        <v>130</v>
      </c>
    </row>
    <row r="42" spans="1:8" ht="15">
      <c r="A42" s="111"/>
      <c r="B42" s="111">
        <v>3421</v>
      </c>
      <c r="C42" s="111">
        <v>2229</v>
      </c>
      <c r="D42" s="111" t="s">
        <v>245</v>
      </c>
      <c r="E42" s="83">
        <v>0</v>
      </c>
      <c r="F42" s="83">
        <v>0</v>
      </c>
      <c r="G42" s="83">
        <v>5.2</v>
      </c>
      <c r="H42" s="222" t="e">
        <f t="shared" si="0"/>
        <v>#DIV/0!</v>
      </c>
    </row>
    <row r="43" spans="1:8" ht="15">
      <c r="A43" s="111"/>
      <c r="B43" s="111">
        <v>3421</v>
      </c>
      <c r="C43" s="111">
        <v>2324</v>
      </c>
      <c r="D43" s="111" t="s">
        <v>246</v>
      </c>
      <c r="E43" s="83">
        <v>0</v>
      </c>
      <c r="F43" s="83">
        <v>0</v>
      </c>
      <c r="G43" s="83">
        <v>0</v>
      </c>
      <c r="H43" s="222" t="e">
        <f t="shared" si="0"/>
        <v>#DIV/0!</v>
      </c>
    </row>
    <row r="44" spans="1:8" ht="15">
      <c r="A44" s="111"/>
      <c r="B44" s="111">
        <v>3429</v>
      </c>
      <c r="C44" s="111">
        <v>2229</v>
      </c>
      <c r="D44" s="111" t="s">
        <v>247</v>
      </c>
      <c r="E44" s="83">
        <v>0</v>
      </c>
      <c r="F44" s="83">
        <v>0</v>
      </c>
      <c r="G44" s="83">
        <v>10.5</v>
      </c>
      <c r="H44" s="222" t="e">
        <f t="shared" si="0"/>
        <v>#DIV/0!</v>
      </c>
    </row>
    <row r="45" spans="1:8" ht="15" hidden="1">
      <c r="A45" s="111"/>
      <c r="B45" s="111">
        <v>6223</v>
      </c>
      <c r="C45" s="111">
        <v>2324</v>
      </c>
      <c r="D45" s="111" t="s">
        <v>248</v>
      </c>
      <c r="E45" s="83">
        <v>0</v>
      </c>
      <c r="F45" s="83">
        <v>0</v>
      </c>
      <c r="G45" s="83"/>
      <c r="H45" s="222" t="e">
        <f>(#REF!/F45)*100</f>
        <v>#REF!</v>
      </c>
    </row>
    <row r="46" spans="1:8" ht="15" customHeight="1" thickBot="1">
      <c r="A46" s="111"/>
      <c r="B46" s="111"/>
      <c r="C46" s="111"/>
      <c r="D46" s="111"/>
      <c r="E46" s="83"/>
      <c r="F46" s="83"/>
      <c r="G46" s="83"/>
      <c r="H46" s="223"/>
    </row>
    <row r="47" spans="1:8" s="97" customFormat="1" ht="21.75" customHeight="1" thickBot="1" thickTop="1">
      <c r="A47" s="114"/>
      <c r="B47" s="114"/>
      <c r="C47" s="114"/>
      <c r="D47" s="115" t="s">
        <v>249</v>
      </c>
      <c r="E47" s="116">
        <f>SUM(E9:E46)</f>
        <v>4000</v>
      </c>
      <c r="F47" s="116">
        <f>SUM(F9:F46)</f>
        <v>4111</v>
      </c>
      <c r="G47" s="116">
        <f>SUM(G9:G46)</f>
        <v>2391.7</v>
      </c>
      <c r="H47" s="224">
        <f>(G47/F47)*100</f>
        <v>58.17805886645585</v>
      </c>
    </row>
    <row r="48" spans="1:8" ht="15" customHeight="1">
      <c r="A48" s="97"/>
      <c r="B48" s="97"/>
      <c r="C48" s="97"/>
      <c r="D48" s="97"/>
      <c r="E48" s="98"/>
      <c r="F48" s="98"/>
      <c r="G48" s="98"/>
      <c r="H48" s="225"/>
    </row>
    <row r="49" spans="1:8" ht="15" customHeight="1" hidden="1">
      <c r="A49" s="97"/>
      <c r="B49" s="97"/>
      <c r="C49" s="97"/>
      <c r="D49" s="97"/>
      <c r="E49" s="98"/>
      <c r="F49" s="98"/>
      <c r="G49" s="98"/>
      <c r="H49" s="225"/>
    </row>
    <row r="50" spans="1:8" ht="15" customHeight="1" thickBot="1">
      <c r="A50" s="97"/>
      <c r="B50" s="97"/>
      <c r="C50" s="97"/>
      <c r="D50" s="97"/>
      <c r="E50" s="98"/>
      <c r="F50" s="98"/>
      <c r="G50" s="98"/>
      <c r="H50" s="225"/>
    </row>
    <row r="51" spans="1:8" ht="15.75">
      <c r="A51" s="215" t="s">
        <v>3</v>
      </c>
      <c r="B51" s="215" t="s">
        <v>4</v>
      </c>
      <c r="C51" s="215" t="s">
        <v>210</v>
      </c>
      <c r="D51" s="216" t="s">
        <v>5</v>
      </c>
      <c r="E51" s="217" t="s">
        <v>6</v>
      </c>
      <c r="F51" s="217" t="s">
        <v>6</v>
      </c>
      <c r="G51" s="217" t="s">
        <v>7</v>
      </c>
      <c r="H51" s="226" t="s">
        <v>211</v>
      </c>
    </row>
    <row r="52" spans="1:8" ht="15.75" customHeight="1" thickBot="1">
      <c r="A52" s="218"/>
      <c r="B52" s="218"/>
      <c r="C52" s="218"/>
      <c r="D52" s="219"/>
      <c r="E52" s="220" t="s">
        <v>9</v>
      </c>
      <c r="F52" s="220" t="s">
        <v>10</v>
      </c>
      <c r="G52" s="221" t="s">
        <v>12</v>
      </c>
      <c r="H52" s="227" t="s">
        <v>212</v>
      </c>
    </row>
    <row r="53" spans="1:8" ht="15.75" customHeight="1" thickTop="1">
      <c r="A53" s="117">
        <v>20</v>
      </c>
      <c r="B53" s="108"/>
      <c r="C53" s="108"/>
      <c r="D53" s="109" t="s">
        <v>250</v>
      </c>
      <c r="E53" s="110"/>
      <c r="F53" s="110"/>
      <c r="G53" s="110"/>
      <c r="H53" s="228"/>
    </row>
    <row r="54" spans="1:8" ht="15.75" customHeight="1">
      <c r="A54" s="117"/>
      <c r="B54" s="108"/>
      <c r="C54" s="108"/>
      <c r="D54" s="109"/>
      <c r="E54" s="110"/>
      <c r="F54" s="110"/>
      <c r="G54" s="110"/>
      <c r="H54" s="228"/>
    </row>
    <row r="55" spans="1:8" ht="15.75" customHeight="1">
      <c r="A55" s="117"/>
      <c r="B55" s="108"/>
      <c r="C55" s="118">
        <v>4213</v>
      </c>
      <c r="D55" s="43" t="s">
        <v>251</v>
      </c>
      <c r="E55" s="110">
        <v>0</v>
      </c>
      <c r="F55" s="110">
        <v>0</v>
      </c>
      <c r="G55" s="83">
        <v>603.7</v>
      </c>
      <c r="H55" s="222" t="e">
        <f aca="true" t="shared" si="1" ref="H55:H64">(G55/F55)*100</f>
        <v>#DIV/0!</v>
      </c>
    </row>
    <row r="56" spans="1:8" ht="15.75" customHeight="1">
      <c r="A56" s="117"/>
      <c r="B56" s="108"/>
      <c r="C56" s="118">
        <v>4213</v>
      </c>
      <c r="D56" s="43" t="s">
        <v>252</v>
      </c>
      <c r="E56" s="110">
        <v>0</v>
      </c>
      <c r="F56" s="110">
        <v>0</v>
      </c>
      <c r="G56" s="83">
        <v>57.9</v>
      </c>
      <c r="H56" s="222" t="e">
        <f t="shared" si="1"/>
        <v>#DIV/0!</v>
      </c>
    </row>
    <row r="57" spans="1:8" ht="15.75">
      <c r="A57" s="119">
        <v>10002</v>
      </c>
      <c r="B57" s="108"/>
      <c r="C57" s="120">
        <v>4216</v>
      </c>
      <c r="D57" s="121" t="s">
        <v>253</v>
      </c>
      <c r="E57" s="82">
        <v>6800</v>
      </c>
      <c r="F57" s="82">
        <v>6800</v>
      </c>
      <c r="G57" s="83">
        <v>0</v>
      </c>
      <c r="H57" s="222">
        <f t="shared" si="1"/>
        <v>0</v>
      </c>
    </row>
    <row r="58" spans="1:8" ht="15.75">
      <c r="A58" s="119">
        <v>71023</v>
      </c>
      <c r="B58" s="108"/>
      <c r="C58" s="120">
        <v>4216</v>
      </c>
      <c r="D58" s="121" t="s">
        <v>254</v>
      </c>
      <c r="E58" s="82">
        <v>0</v>
      </c>
      <c r="F58" s="82">
        <v>0</v>
      </c>
      <c r="G58" s="83">
        <v>983.7</v>
      </c>
      <c r="H58" s="222" t="e">
        <f t="shared" si="1"/>
        <v>#DIV/0!</v>
      </c>
    </row>
    <row r="59" spans="1:8" ht="15">
      <c r="A59" s="122">
        <v>71009</v>
      </c>
      <c r="B59" s="123"/>
      <c r="C59" s="120">
        <v>4223</v>
      </c>
      <c r="D59" s="124" t="s">
        <v>255</v>
      </c>
      <c r="E59" s="82">
        <v>26586</v>
      </c>
      <c r="F59" s="82">
        <v>26586</v>
      </c>
      <c r="G59" s="83">
        <v>0</v>
      </c>
      <c r="H59" s="222">
        <f t="shared" si="1"/>
        <v>0</v>
      </c>
    </row>
    <row r="60" spans="1:8" ht="15">
      <c r="A60" s="125">
        <v>71009</v>
      </c>
      <c r="B60" s="126"/>
      <c r="C60" s="127">
        <v>4216</v>
      </c>
      <c r="D60" s="124" t="s">
        <v>256</v>
      </c>
      <c r="E60" s="83">
        <v>2348</v>
      </c>
      <c r="F60" s="83">
        <v>2348</v>
      </c>
      <c r="G60" s="83">
        <v>0</v>
      </c>
      <c r="H60" s="222">
        <f t="shared" si="1"/>
        <v>0</v>
      </c>
    </row>
    <row r="61" spans="1:8" ht="15">
      <c r="A61" s="125"/>
      <c r="B61" s="126">
        <v>3322</v>
      </c>
      <c r="C61" s="128">
        <v>2324</v>
      </c>
      <c r="D61" s="124" t="s">
        <v>257</v>
      </c>
      <c r="E61" s="83">
        <v>0</v>
      </c>
      <c r="F61" s="83">
        <v>0</v>
      </c>
      <c r="G61" s="83">
        <v>69.4</v>
      </c>
      <c r="H61" s="222" t="e">
        <f t="shared" si="1"/>
        <v>#DIV/0!</v>
      </c>
    </row>
    <row r="62" spans="1:8" ht="15">
      <c r="A62" s="57"/>
      <c r="B62" s="127">
        <v>3326</v>
      </c>
      <c r="C62" s="55">
        <v>2212</v>
      </c>
      <c r="D62" s="55" t="s">
        <v>258</v>
      </c>
      <c r="E62" s="82">
        <v>0</v>
      </c>
      <c r="F62" s="82">
        <v>0</v>
      </c>
      <c r="G62" s="82">
        <v>35</v>
      </c>
      <c r="H62" s="222" t="e">
        <f t="shared" si="1"/>
        <v>#DIV/0!</v>
      </c>
    </row>
    <row r="63" spans="1:8" ht="15">
      <c r="A63" s="57"/>
      <c r="B63" s="127">
        <v>3326</v>
      </c>
      <c r="C63" s="55">
        <v>2324</v>
      </c>
      <c r="D63" s="55" t="s">
        <v>259</v>
      </c>
      <c r="E63" s="82">
        <v>0</v>
      </c>
      <c r="F63" s="82">
        <v>0</v>
      </c>
      <c r="G63" s="82">
        <v>4</v>
      </c>
      <c r="H63" s="222" t="e">
        <f t="shared" si="1"/>
        <v>#DIV/0!</v>
      </c>
    </row>
    <row r="64" spans="1:8" ht="15">
      <c r="A64" s="57">
        <v>91014</v>
      </c>
      <c r="B64" s="127">
        <v>3326</v>
      </c>
      <c r="C64" s="55">
        <v>3122</v>
      </c>
      <c r="D64" s="124" t="s">
        <v>260</v>
      </c>
      <c r="E64" s="82">
        <v>60</v>
      </c>
      <c r="F64" s="82">
        <v>60</v>
      </c>
      <c r="G64" s="82">
        <v>0</v>
      </c>
      <c r="H64" s="222">
        <f t="shared" si="1"/>
        <v>0</v>
      </c>
    </row>
    <row r="65" spans="1:8" ht="15.75" thickBot="1">
      <c r="A65" s="129"/>
      <c r="B65" s="130"/>
      <c r="C65" s="130"/>
      <c r="D65" s="130"/>
      <c r="E65" s="131"/>
      <c r="F65" s="131"/>
      <c r="G65" s="131"/>
      <c r="H65" s="229"/>
    </row>
    <row r="66" spans="1:8" s="97" customFormat="1" ht="21.75" customHeight="1" thickBot="1" thickTop="1">
      <c r="A66" s="132"/>
      <c r="B66" s="114"/>
      <c r="C66" s="114"/>
      <c r="D66" s="115" t="s">
        <v>261</v>
      </c>
      <c r="E66" s="116">
        <f>SUM(E55:E65)</f>
        <v>35794</v>
      </c>
      <c r="F66" s="116">
        <f>SUM(F55:F65)</f>
        <v>35794</v>
      </c>
      <c r="G66" s="116">
        <f>SUM(G55:G65)</f>
        <v>1753.7000000000003</v>
      </c>
      <c r="H66" s="224">
        <f>(G66/F66)*100</f>
        <v>4.899424484550484</v>
      </c>
    </row>
    <row r="67" spans="1:8" ht="15" customHeight="1">
      <c r="A67" s="133"/>
      <c r="B67" s="133"/>
      <c r="C67" s="133"/>
      <c r="D67" s="104"/>
      <c r="E67" s="134"/>
      <c r="F67" s="134"/>
      <c r="G67" s="102"/>
      <c r="H67" s="230"/>
    </row>
    <row r="68" spans="1:8" ht="15" customHeight="1" hidden="1">
      <c r="A68" s="133"/>
      <c r="B68" s="133"/>
      <c r="C68" s="133"/>
      <c r="D68" s="104"/>
      <c r="E68" s="134"/>
      <c r="F68" s="134"/>
      <c r="G68" s="134"/>
      <c r="H68" s="231"/>
    </row>
    <row r="69" spans="1:8" ht="15" customHeight="1" thickBot="1">
      <c r="A69" s="133"/>
      <c r="B69" s="133"/>
      <c r="C69" s="133"/>
      <c r="D69" s="104"/>
      <c r="E69" s="134"/>
      <c r="F69" s="134"/>
      <c r="G69" s="134"/>
      <c r="H69" s="231"/>
    </row>
    <row r="70" spans="1:8" ht="15.75">
      <c r="A70" s="215" t="s">
        <v>3</v>
      </c>
      <c r="B70" s="215" t="s">
        <v>4</v>
      </c>
      <c r="C70" s="215" t="s">
        <v>210</v>
      </c>
      <c r="D70" s="216" t="s">
        <v>5</v>
      </c>
      <c r="E70" s="217" t="s">
        <v>6</v>
      </c>
      <c r="F70" s="217" t="s">
        <v>6</v>
      </c>
      <c r="G70" s="217" t="s">
        <v>7</v>
      </c>
      <c r="H70" s="226" t="s">
        <v>211</v>
      </c>
    </row>
    <row r="71" spans="1:8" ht="15.75" customHeight="1" thickBot="1">
      <c r="A71" s="218"/>
      <c r="B71" s="218"/>
      <c r="C71" s="218"/>
      <c r="D71" s="219"/>
      <c r="E71" s="220" t="s">
        <v>9</v>
      </c>
      <c r="F71" s="220" t="s">
        <v>10</v>
      </c>
      <c r="G71" s="221" t="s">
        <v>12</v>
      </c>
      <c r="H71" s="227" t="s">
        <v>212</v>
      </c>
    </row>
    <row r="72" spans="1:8" ht="16.5" customHeight="1" thickTop="1">
      <c r="A72" s="117">
        <v>30</v>
      </c>
      <c r="B72" s="108"/>
      <c r="C72" s="108"/>
      <c r="D72" s="109" t="s">
        <v>107</v>
      </c>
      <c r="E72" s="135"/>
      <c r="F72" s="135"/>
      <c r="G72" s="135"/>
      <c r="H72" s="232"/>
    </row>
    <row r="73" spans="1:8" ht="15" customHeight="1">
      <c r="A73" s="67"/>
      <c r="B73" s="65"/>
      <c r="C73" s="65"/>
      <c r="D73" s="65"/>
      <c r="E73" s="82"/>
      <c r="F73" s="82"/>
      <c r="G73" s="82"/>
      <c r="H73" s="222"/>
    </row>
    <row r="74" spans="1:8" ht="15" customHeight="1">
      <c r="A74" s="67"/>
      <c r="B74" s="65"/>
      <c r="C74" s="21">
        <v>1342</v>
      </c>
      <c r="D74" s="21" t="s">
        <v>262</v>
      </c>
      <c r="E74" s="110">
        <v>50</v>
      </c>
      <c r="F74" s="110">
        <v>50</v>
      </c>
      <c r="G74" s="110">
        <v>9.7</v>
      </c>
      <c r="H74" s="222">
        <f aca="true" t="shared" si="2" ref="H74:H118">(G74/F74)*100</f>
        <v>19.4</v>
      </c>
    </row>
    <row r="75" spans="1:8" ht="15">
      <c r="A75" s="40"/>
      <c r="B75" s="21"/>
      <c r="C75" s="21">
        <v>1343</v>
      </c>
      <c r="D75" s="21" t="s">
        <v>263</v>
      </c>
      <c r="E75" s="110">
        <v>1500</v>
      </c>
      <c r="F75" s="110">
        <v>1500</v>
      </c>
      <c r="G75" s="110">
        <v>578.7</v>
      </c>
      <c r="H75" s="222">
        <f t="shared" si="2"/>
        <v>38.580000000000005</v>
      </c>
    </row>
    <row r="76" spans="1:8" ht="15">
      <c r="A76" s="57"/>
      <c r="B76" s="55"/>
      <c r="C76" s="55">
        <v>1345</v>
      </c>
      <c r="D76" s="55" t="s">
        <v>264</v>
      </c>
      <c r="E76" s="136">
        <v>90</v>
      </c>
      <c r="F76" s="136">
        <v>90</v>
      </c>
      <c r="G76" s="136">
        <v>81.7</v>
      </c>
      <c r="H76" s="222">
        <f t="shared" si="2"/>
        <v>90.77777777777779</v>
      </c>
    </row>
    <row r="77" spans="1:8" ht="15">
      <c r="A77" s="57"/>
      <c r="B77" s="55"/>
      <c r="C77" s="55">
        <v>1361</v>
      </c>
      <c r="D77" s="55" t="s">
        <v>215</v>
      </c>
      <c r="E77" s="136">
        <v>60</v>
      </c>
      <c r="F77" s="136">
        <v>60</v>
      </c>
      <c r="G77" s="136">
        <v>37.5</v>
      </c>
      <c r="H77" s="222">
        <f t="shared" si="2"/>
        <v>62.5</v>
      </c>
    </row>
    <row r="78" spans="1:8" ht="15" hidden="1">
      <c r="A78" s="57"/>
      <c r="B78" s="55"/>
      <c r="C78" s="55">
        <v>2460</v>
      </c>
      <c r="D78" s="55" t="s">
        <v>265</v>
      </c>
      <c r="E78" s="136"/>
      <c r="F78" s="136"/>
      <c r="G78" s="136"/>
      <c r="H78" s="222" t="e">
        <f t="shared" si="2"/>
        <v>#DIV/0!</v>
      </c>
    </row>
    <row r="79" spans="1:8" ht="15" customHeight="1">
      <c r="A79" s="57">
        <v>98071</v>
      </c>
      <c r="B79" s="55"/>
      <c r="C79" s="55">
        <v>4111</v>
      </c>
      <c r="D79" s="55" t="s">
        <v>266</v>
      </c>
      <c r="E79" s="136">
        <v>0</v>
      </c>
      <c r="F79" s="136">
        <v>482</v>
      </c>
      <c r="G79" s="136">
        <v>482</v>
      </c>
      <c r="H79" s="222">
        <f t="shared" si="2"/>
        <v>100</v>
      </c>
    </row>
    <row r="80" spans="1:8" ht="15" customHeight="1">
      <c r="A80" s="57">
        <v>98116</v>
      </c>
      <c r="B80" s="55"/>
      <c r="C80" s="55">
        <v>4111</v>
      </c>
      <c r="D80" s="55" t="s">
        <v>267</v>
      </c>
      <c r="E80" s="136">
        <v>0</v>
      </c>
      <c r="F80" s="136">
        <v>1111.5</v>
      </c>
      <c r="G80" s="136">
        <v>1111.5</v>
      </c>
      <c r="H80" s="222">
        <f t="shared" si="2"/>
        <v>100</v>
      </c>
    </row>
    <row r="81" spans="1:8" ht="15" customHeight="1">
      <c r="A81" s="57">
        <v>98216</v>
      </c>
      <c r="B81" s="55"/>
      <c r="C81" s="55">
        <v>4111</v>
      </c>
      <c r="D81" s="55" t="s">
        <v>268</v>
      </c>
      <c r="E81" s="136">
        <v>0</v>
      </c>
      <c r="F81" s="136">
        <v>2386.3</v>
      </c>
      <c r="G81" s="136">
        <v>3554.1</v>
      </c>
      <c r="H81" s="222">
        <f t="shared" si="2"/>
        <v>148.9376859573398</v>
      </c>
    </row>
    <row r="82" spans="1:8" ht="14.25" customHeight="1">
      <c r="A82" s="57"/>
      <c r="B82" s="55"/>
      <c r="C82" s="55">
        <v>4116</v>
      </c>
      <c r="D82" s="55" t="s">
        <v>269</v>
      </c>
      <c r="E82" s="136">
        <v>0</v>
      </c>
      <c r="F82" s="136">
        <v>2017.5</v>
      </c>
      <c r="G82" s="136">
        <v>981.2</v>
      </c>
      <c r="H82" s="222">
        <f t="shared" si="2"/>
        <v>48.63444857496903</v>
      </c>
    </row>
    <row r="83" spans="1:8" ht="15" customHeight="1">
      <c r="A83" s="57"/>
      <c r="B83" s="55"/>
      <c r="C83" s="55">
        <v>4121</v>
      </c>
      <c r="D83" s="55" t="s">
        <v>270</v>
      </c>
      <c r="E83" s="136">
        <v>0</v>
      </c>
      <c r="F83" s="136">
        <v>70</v>
      </c>
      <c r="G83" s="136">
        <v>90</v>
      </c>
      <c r="H83" s="222">
        <f t="shared" si="2"/>
        <v>128.57142857142858</v>
      </c>
    </row>
    <row r="84" spans="1:8" ht="15" customHeight="1" hidden="1">
      <c r="A84" s="57"/>
      <c r="B84" s="55"/>
      <c r="C84" s="55">
        <v>4122</v>
      </c>
      <c r="D84" s="55" t="s">
        <v>271</v>
      </c>
      <c r="E84" s="136">
        <v>0</v>
      </c>
      <c r="F84" s="136">
        <v>0</v>
      </c>
      <c r="G84" s="136"/>
      <c r="H84" s="222" t="e">
        <f t="shared" si="2"/>
        <v>#DIV/0!</v>
      </c>
    </row>
    <row r="85" spans="1:8" ht="15">
      <c r="A85" s="57"/>
      <c r="B85" s="55"/>
      <c r="C85" s="55">
        <v>4132</v>
      </c>
      <c r="D85" s="55" t="s">
        <v>272</v>
      </c>
      <c r="E85" s="136">
        <v>0</v>
      </c>
      <c r="F85" s="136">
        <v>1485</v>
      </c>
      <c r="G85" s="136">
        <v>1485.2</v>
      </c>
      <c r="H85" s="222">
        <f t="shared" si="2"/>
        <v>100.01346801346801</v>
      </c>
    </row>
    <row r="86" spans="1:8" ht="15" hidden="1">
      <c r="A86" s="57"/>
      <c r="B86" s="55"/>
      <c r="C86" s="55">
        <v>4222</v>
      </c>
      <c r="D86" s="55" t="s">
        <v>273</v>
      </c>
      <c r="E86" s="136">
        <v>0</v>
      </c>
      <c r="F86" s="136">
        <v>0</v>
      </c>
      <c r="G86" s="136"/>
      <c r="H86" s="222" t="e">
        <f t="shared" si="2"/>
        <v>#DIV/0!</v>
      </c>
    </row>
    <row r="87" spans="1:8" ht="15">
      <c r="A87" s="57"/>
      <c r="B87" s="55">
        <v>2212</v>
      </c>
      <c r="C87" s="55">
        <v>2322</v>
      </c>
      <c r="D87" s="55" t="s">
        <v>274</v>
      </c>
      <c r="E87" s="136">
        <v>0</v>
      </c>
      <c r="F87" s="136">
        <v>0</v>
      </c>
      <c r="G87" s="136">
        <v>2.7</v>
      </c>
      <c r="H87" s="222" t="e">
        <f t="shared" si="2"/>
        <v>#DIV/0!</v>
      </c>
    </row>
    <row r="88" spans="1:8" ht="15" hidden="1">
      <c r="A88" s="57"/>
      <c r="B88" s="55">
        <v>2212</v>
      </c>
      <c r="C88" s="55">
        <v>2324</v>
      </c>
      <c r="D88" s="55" t="s">
        <v>275</v>
      </c>
      <c r="E88" s="136">
        <v>0</v>
      </c>
      <c r="F88" s="136">
        <v>0</v>
      </c>
      <c r="G88" s="136"/>
      <c r="H88" s="222" t="e">
        <f t="shared" si="2"/>
        <v>#DIV/0!</v>
      </c>
    </row>
    <row r="89" spans="1:8" ht="15" hidden="1">
      <c r="A89" s="57"/>
      <c r="B89" s="55">
        <v>2219</v>
      </c>
      <c r="C89" s="55">
        <v>2131</v>
      </c>
      <c r="D89" s="55" t="s">
        <v>276</v>
      </c>
      <c r="E89" s="136">
        <v>0</v>
      </c>
      <c r="F89" s="136">
        <v>0</v>
      </c>
      <c r="G89" s="136"/>
      <c r="H89" s="222" t="e">
        <f t="shared" si="2"/>
        <v>#DIV/0!</v>
      </c>
    </row>
    <row r="90" spans="1:8" ht="15">
      <c r="A90" s="57"/>
      <c r="B90" s="55">
        <v>2212</v>
      </c>
      <c r="C90" s="55">
        <v>3113</v>
      </c>
      <c r="D90" s="55" t="s">
        <v>277</v>
      </c>
      <c r="E90" s="136">
        <v>0</v>
      </c>
      <c r="F90" s="136">
        <v>0</v>
      </c>
      <c r="G90" s="136">
        <v>104.1</v>
      </c>
      <c r="H90" s="222" t="e">
        <f t="shared" si="2"/>
        <v>#DIV/0!</v>
      </c>
    </row>
    <row r="91" spans="1:8" ht="15">
      <c r="A91" s="57"/>
      <c r="B91" s="55">
        <v>2219</v>
      </c>
      <c r="C91" s="55">
        <v>2133</v>
      </c>
      <c r="D91" s="55" t="s">
        <v>278</v>
      </c>
      <c r="E91" s="136">
        <v>80</v>
      </c>
      <c r="F91" s="136">
        <v>80</v>
      </c>
      <c r="G91" s="136">
        <v>30.8</v>
      </c>
      <c r="H91" s="222">
        <f t="shared" si="2"/>
        <v>38.5</v>
      </c>
    </row>
    <row r="92" spans="1:8" ht="15">
      <c r="A92" s="57"/>
      <c r="B92" s="55">
        <v>2219</v>
      </c>
      <c r="C92" s="55">
        <v>2329</v>
      </c>
      <c r="D92" s="55" t="s">
        <v>279</v>
      </c>
      <c r="E92" s="82">
        <v>5600</v>
      </c>
      <c r="F92" s="82">
        <v>5600</v>
      </c>
      <c r="G92" s="82">
        <v>2550.3</v>
      </c>
      <c r="H92" s="222">
        <f t="shared" si="2"/>
        <v>45.541071428571435</v>
      </c>
    </row>
    <row r="93" spans="1:8" ht="15" hidden="1">
      <c r="A93" s="57"/>
      <c r="B93" s="55">
        <v>2229</v>
      </c>
      <c r="C93" s="55">
        <v>2324</v>
      </c>
      <c r="D93" s="55" t="s">
        <v>280</v>
      </c>
      <c r="E93" s="110"/>
      <c r="F93" s="110"/>
      <c r="G93" s="110"/>
      <c r="H93" s="222" t="e">
        <f t="shared" si="2"/>
        <v>#DIV/0!</v>
      </c>
    </row>
    <row r="94" spans="1:8" ht="15" hidden="1">
      <c r="A94" s="57"/>
      <c r="B94" s="55">
        <v>2221</v>
      </c>
      <c r="C94" s="55">
        <v>2329</v>
      </c>
      <c r="D94" s="55" t="s">
        <v>281</v>
      </c>
      <c r="E94" s="110"/>
      <c r="F94" s="110"/>
      <c r="G94" s="110"/>
      <c r="H94" s="222" t="e">
        <f t="shared" si="2"/>
        <v>#DIV/0!</v>
      </c>
    </row>
    <row r="95" spans="1:8" ht="15">
      <c r="A95" s="57"/>
      <c r="B95" s="55">
        <v>3341</v>
      </c>
      <c r="C95" s="55">
        <v>2111</v>
      </c>
      <c r="D95" s="55" t="s">
        <v>282</v>
      </c>
      <c r="E95" s="38">
        <v>5</v>
      </c>
      <c r="F95" s="38">
        <v>5</v>
      </c>
      <c r="G95" s="38">
        <v>2.2</v>
      </c>
      <c r="H95" s="222">
        <f t="shared" si="2"/>
        <v>44.00000000000001</v>
      </c>
    </row>
    <row r="96" spans="1:8" ht="15">
      <c r="A96" s="57"/>
      <c r="B96" s="55">
        <v>3631</v>
      </c>
      <c r="C96" s="55">
        <v>2133</v>
      </c>
      <c r="D96" s="55" t="s">
        <v>283</v>
      </c>
      <c r="E96" s="82">
        <v>500</v>
      </c>
      <c r="F96" s="82">
        <v>500</v>
      </c>
      <c r="G96" s="82">
        <v>259</v>
      </c>
      <c r="H96" s="222">
        <f t="shared" si="2"/>
        <v>51.800000000000004</v>
      </c>
    </row>
    <row r="97" spans="1:8" ht="15" hidden="1">
      <c r="A97" s="57"/>
      <c r="B97" s="55">
        <v>3631</v>
      </c>
      <c r="C97" s="55">
        <v>2322</v>
      </c>
      <c r="D97" s="55" t="s">
        <v>284</v>
      </c>
      <c r="E97" s="82">
        <v>0</v>
      </c>
      <c r="F97" s="82">
        <v>0</v>
      </c>
      <c r="G97" s="82"/>
      <c r="H97" s="222" t="e">
        <f t="shared" si="2"/>
        <v>#DIV/0!</v>
      </c>
    </row>
    <row r="98" spans="1:8" ht="15">
      <c r="A98" s="57"/>
      <c r="B98" s="55">
        <v>3631</v>
      </c>
      <c r="C98" s="55">
        <v>2324</v>
      </c>
      <c r="D98" s="55" t="s">
        <v>285</v>
      </c>
      <c r="E98" s="82">
        <v>0</v>
      </c>
      <c r="F98" s="82">
        <v>0</v>
      </c>
      <c r="G98" s="82">
        <v>25.7</v>
      </c>
      <c r="H98" s="222" t="e">
        <f t="shared" si="2"/>
        <v>#DIV/0!</v>
      </c>
    </row>
    <row r="99" spans="1:8" ht="15">
      <c r="A99" s="57"/>
      <c r="B99" s="55">
        <v>3632</v>
      </c>
      <c r="C99" s="55">
        <v>2111</v>
      </c>
      <c r="D99" s="55" t="s">
        <v>286</v>
      </c>
      <c r="E99" s="82">
        <v>300</v>
      </c>
      <c r="F99" s="82">
        <v>300</v>
      </c>
      <c r="G99" s="82">
        <v>707</v>
      </c>
      <c r="H99" s="222">
        <f t="shared" si="2"/>
        <v>235.66666666666666</v>
      </c>
    </row>
    <row r="100" spans="1:8" ht="15">
      <c r="A100" s="57"/>
      <c r="B100" s="55">
        <v>3632</v>
      </c>
      <c r="C100" s="55">
        <v>2132</v>
      </c>
      <c r="D100" s="55" t="s">
        <v>287</v>
      </c>
      <c r="E100" s="82">
        <v>25</v>
      </c>
      <c r="F100" s="82">
        <v>25</v>
      </c>
      <c r="G100" s="82">
        <v>20</v>
      </c>
      <c r="H100" s="222">
        <f t="shared" si="2"/>
        <v>80</v>
      </c>
    </row>
    <row r="101" spans="1:8" ht="15">
      <c r="A101" s="57"/>
      <c r="B101" s="55">
        <v>3632</v>
      </c>
      <c r="C101" s="55">
        <v>2324</v>
      </c>
      <c r="D101" s="55" t="s">
        <v>288</v>
      </c>
      <c r="E101" s="82">
        <v>0</v>
      </c>
      <c r="F101" s="82">
        <v>0</v>
      </c>
      <c r="G101" s="82">
        <v>1.1</v>
      </c>
      <c r="H101" s="222" t="e">
        <f t="shared" si="2"/>
        <v>#DIV/0!</v>
      </c>
    </row>
    <row r="102" spans="1:8" ht="15">
      <c r="A102" s="57"/>
      <c r="B102" s="55">
        <v>3632</v>
      </c>
      <c r="C102" s="55">
        <v>2329</v>
      </c>
      <c r="D102" s="55" t="s">
        <v>289</v>
      </c>
      <c r="E102" s="82">
        <v>100</v>
      </c>
      <c r="F102" s="82">
        <v>100</v>
      </c>
      <c r="G102" s="82">
        <v>48.6</v>
      </c>
      <c r="H102" s="222">
        <f t="shared" si="2"/>
        <v>48.6</v>
      </c>
    </row>
    <row r="103" spans="1:8" ht="15" hidden="1">
      <c r="A103" s="57"/>
      <c r="B103" s="55">
        <v>3722</v>
      </c>
      <c r="C103" s="55">
        <v>2324</v>
      </c>
      <c r="D103" s="55" t="s">
        <v>290</v>
      </c>
      <c r="E103" s="82"/>
      <c r="F103" s="82"/>
      <c r="G103" s="82"/>
      <c r="H103" s="222" t="e">
        <f t="shared" si="2"/>
        <v>#DIV/0!</v>
      </c>
    </row>
    <row r="104" spans="1:8" ht="15">
      <c r="A104" s="57"/>
      <c r="B104" s="55">
        <v>3722</v>
      </c>
      <c r="C104" s="55">
        <v>2324</v>
      </c>
      <c r="D104" s="55" t="s">
        <v>291</v>
      </c>
      <c r="E104" s="82">
        <v>0</v>
      </c>
      <c r="F104" s="82">
        <v>0</v>
      </c>
      <c r="G104" s="82">
        <v>36.7</v>
      </c>
      <c r="H104" s="222" t="e">
        <f t="shared" si="2"/>
        <v>#DIV/0!</v>
      </c>
    </row>
    <row r="105" spans="1:8" ht="15">
      <c r="A105" s="57"/>
      <c r="B105" s="55">
        <v>3745</v>
      </c>
      <c r="C105" s="55">
        <v>2324</v>
      </c>
      <c r="D105" s="55" t="s">
        <v>292</v>
      </c>
      <c r="E105" s="82">
        <v>0</v>
      </c>
      <c r="F105" s="82">
        <v>0</v>
      </c>
      <c r="G105" s="82">
        <v>3.8</v>
      </c>
      <c r="H105" s="222" t="e">
        <f t="shared" si="2"/>
        <v>#DIV/0!</v>
      </c>
    </row>
    <row r="106" spans="1:8" ht="15" hidden="1">
      <c r="A106" s="57"/>
      <c r="B106" s="55">
        <v>5512</v>
      </c>
      <c r="C106" s="55">
        <v>2132</v>
      </c>
      <c r="D106" s="55" t="s">
        <v>293</v>
      </c>
      <c r="E106" s="82">
        <v>0</v>
      </c>
      <c r="F106" s="82">
        <v>0</v>
      </c>
      <c r="G106" s="82"/>
      <c r="H106" s="222" t="e">
        <f t="shared" si="2"/>
        <v>#DIV/0!</v>
      </c>
    </row>
    <row r="107" spans="1:8" ht="15">
      <c r="A107" s="57"/>
      <c r="B107" s="55">
        <v>5512</v>
      </c>
      <c r="C107" s="55">
        <v>2324</v>
      </c>
      <c r="D107" s="55" t="s">
        <v>294</v>
      </c>
      <c r="E107" s="82">
        <v>0</v>
      </c>
      <c r="F107" s="82">
        <v>0</v>
      </c>
      <c r="G107" s="82">
        <v>81.6</v>
      </c>
      <c r="H107" s="222" t="e">
        <f t="shared" si="2"/>
        <v>#DIV/0!</v>
      </c>
    </row>
    <row r="108" spans="1:8" ht="15">
      <c r="A108" s="57"/>
      <c r="B108" s="55">
        <v>5512</v>
      </c>
      <c r="C108" s="55">
        <v>3113</v>
      </c>
      <c r="D108" s="55" t="s">
        <v>295</v>
      </c>
      <c r="E108" s="110">
        <v>0</v>
      </c>
      <c r="F108" s="110">
        <v>0</v>
      </c>
      <c r="G108" s="110">
        <v>77</v>
      </c>
      <c r="H108" s="222" t="e">
        <f t="shared" si="2"/>
        <v>#DIV/0!</v>
      </c>
    </row>
    <row r="109" spans="1:8" ht="15">
      <c r="A109" s="57"/>
      <c r="B109" s="55">
        <v>6171</v>
      </c>
      <c r="C109" s="55">
        <v>2111</v>
      </c>
      <c r="D109" s="55" t="s">
        <v>296</v>
      </c>
      <c r="E109" s="38">
        <v>150</v>
      </c>
      <c r="F109" s="38">
        <v>150</v>
      </c>
      <c r="G109" s="38">
        <v>96.7</v>
      </c>
      <c r="H109" s="222">
        <f t="shared" si="2"/>
        <v>64.46666666666667</v>
      </c>
    </row>
    <row r="110" spans="1:8" ht="15">
      <c r="A110" s="57"/>
      <c r="B110" s="55">
        <v>6171</v>
      </c>
      <c r="C110" s="55">
        <v>2131</v>
      </c>
      <c r="D110" s="55" t="s">
        <v>297</v>
      </c>
      <c r="E110" s="136">
        <v>200</v>
      </c>
      <c r="F110" s="136">
        <v>200</v>
      </c>
      <c r="G110" s="136">
        <v>225.1</v>
      </c>
      <c r="H110" s="222">
        <f t="shared" si="2"/>
        <v>112.55</v>
      </c>
    </row>
    <row r="111" spans="1:8" ht="15">
      <c r="A111" s="57"/>
      <c r="B111" s="55">
        <v>6171</v>
      </c>
      <c r="C111" s="55">
        <v>2132</v>
      </c>
      <c r="D111" s="55" t="s">
        <v>298</v>
      </c>
      <c r="E111" s="82">
        <v>50</v>
      </c>
      <c r="F111" s="82">
        <v>50</v>
      </c>
      <c r="G111" s="82">
        <v>42.7</v>
      </c>
      <c r="H111" s="222">
        <f t="shared" si="2"/>
        <v>85.4</v>
      </c>
    </row>
    <row r="112" spans="1:8" ht="15" hidden="1">
      <c r="A112" s="57"/>
      <c r="B112" s="55">
        <v>6171</v>
      </c>
      <c r="C112" s="55">
        <v>2210</v>
      </c>
      <c r="D112" s="55" t="s">
        <v>299</v>
      </c>
      <c r="E112" s="83"/>
      <c r="F112" s="83"/>
      <c r="G112" s="83"/>
      <c r="H112" s="222" t="e">
        <f t="shared" si="2"/>
        <v>#DIV/0!</v>
      </c>
    </row>
    <row r="113" spans="1:8" ht="15" hidden="1">
      <c r="A113" s="57"/>
      <c r="B113" s="55">
        <v>6171</v>
      </c>
      <c r="C113" s="55">
        <v>2310</v>
      </c>
      <c r="D113" s="55" t="s">
        <v>300</v>
      </c>
      <c r="E113" s="82"/>
      <c r="F113" s="82"/>
      <c r="G113" s="82"/>
      <c r="H113" s="222" t="e">
        <f t="shared" si="2"/>
        <v>#DIV/0!</v>
      </c>
    </row>
    <row r="114" spans="1:8" ht="15" hidden="1">
      <c r="A114" s="57"/>
      <c r="B114" s="55">
        <v>6171</v>
      </c>
      <c r="C114" s="55">
        <v>2310</v>
      </c>
      <c r="D114" s="55" t="s">
        <v>300</v>
      </c>
      <c r="E114" s="82"/>
      <c r="F114" s="82"/>
      <c r="G114" s="82"/>
      <c r="H114" s="222" t="e">
        <f t="shared" si="2"/>
        <v>#DIV/0!</v>
      </c>
    </row>
    <row r="115" spans="1:8" ht="15">
      <c r="A115" s="57"/>
      <c r="B115" s="55">
        <v>6171</v>
      </c>
      <c r="C115" s="55">
        <v>2133</v>
      </c>
      <c r="D115" s="55" t="s">
        <v>301</v>
      </c>
      <c r="E115" s="38">
        <v>90</v>
      </c>
      <c r="F115" s="38">
        <v>90</v>
      </c>
      <c r="G115" s="38">
        <v>65.9</v>
      </c>
      <c r="H115" s="222">
        <f t="shared" si="2"/>
        <v>73.22222222222223</v>
      </c>
    </row>
    <row r="116" spans="1:8" ht="15" hidden="1">
      <c r="A116" s="57"/>
      <c r="B116" s="55">
        <v>6171</v>
      </c>
      <c r="C116" s="55">
        <v>2321</v>
      </c>
      <c r="D116" s="55" t="s">
        <v>302</v>
      </c>
      <c r="E116" s="38"/>
      <c r="F116" s="38"/>
      <c r="G116" s="38"/>
      <c r="H116" s="222" t="e">
        <f t="shared" si="2"/>
        <v>#DIV/0!</v>
      </c>
    </row>
    <row r="117" spans="1:8" ht="15">
      <c r="A117" s="57"/>
      <c r="B117" s="55">
        <v>6171</v>
      </c>
      <c r="C117" s="55">
        <v>2322</v>
      </c>
      <c r="D117" s="55" t="s">
        <v>303</v>
      </c>
      <c r="E117" s="82">
        <v>0</v>
      </c>
      <c r="F117" s="82">
        <v>0</v>
      </c>
      <c r="G117" s="82">
        <v>0.5</v>
      </c>
      <c r="H117" s="222" t="e">
        <f t="shared" si="2"/>
        <v>#DIV/0!</v>
      </c>
    </row>
    <row r="118" spans="1:8" ht="15">
      <c r="A118" s="57"/>
      <c r="B118" s="55">
        <v>6171</v>
      </c>
      <c r="C118" s="55">
        <v>2324</v>
      </c>
      <c r="D118" s="55" t="s">
        <v>304</v>
      </c>
      <c r="E118" s="82">
        <v>100</v>
      </c>
      <c r="F118" s="82">
        <v>100</v>
      </c>
      <c r="G118" s="82">
        <v>3.4</v>
      </c>
      <c r="H118" s="222">
        <f t="shared" si="2"/>
        <v>3.4000000000000004</v>
      </c>
    </row>
    <row r="119" spans="1:8" ht="15" hidden="1">
      <c r="A119" s="57"/>
      <c r="B119" s="55">
        <v>6171</v>
      </c>
      <c r="C119" s="55">
        <v>2329</v>
      </c>
      <c r="D119" s="55" t="s">
        <v>305</v>
      </c>
      <c r="E119" s="82">
        <v>0</v>
      </c>
      <c r="F119" s="82">
        <v>0</v>
      </c>
      <c r="G119" s="82"/>
      <c r="H119" s="222" t="e">
        <f>(#REF!/F119)*100</f>
        <v>#REF!</v>
      </c>
    </row>
    <row r="120" spans="1:8" ht="15" hidden="1">
      <c r="A120" s="129"/>
      <c r="B120" s="130">
        <v>6171</v>
      </c>
      <c r="C120" s="130">
        <v>3113</v>
      </c>
      <c r="D120" s="130" t="s">
        <v>306</v>
      </c>
      <c r="E120" s="131">
        <v>0</v>
      </c>
      <c r="F120" s="131">
        <v>0</v>
      </c>
      <c r="G120" s="131"/>
      <c r="H120" s="229" t="e">
        <f>(#REF!/F120)*100</f>
        <v>#REF!</v>
      </c>
    </row>
    <row r="121" spans="1:8" ht="21.75" customHeight="1" thickBot="1">
      <c r="A121" s="137"/>
      <c r="B121" s="138"/>
      <c r="C121" s="138"/>
      <c r="D121" s="138"/>
      <c r="E121" s="139"/>
      <c r="F121" s="139"/>
      <c r="G121" s="139"/>
      <c r="H121" s="233"/>
    </row>
    <row r="122" spans="1:8" s="97" customFormat="1" ht="21.75" customHeight="1" thickBot="1" thickTop="1">
      <c r="A122" s="140"/>
      <c r="B122" s="141"/>
      <c r="C122" s="141"/>
      <c r="D122" s="142" t="s">
        <v>307</v>
      </c>
      <c r="E122" s="143">
        <f>SUM(E74:E121)</f>
        <v>8900</v>
      </c>
      <c r="F122" s="143">
        <f>SUM(F74:F121)</f>
        <v>16452.3</v>
      </c>
      <c r="G122" s="143">
        <f>SUM(G73:G121)</f>
        <v>12796.500000000004</v>
      </c>
      <c r="H122" s="224">
        <f>(G122/F122)*100</f>
        <v>77.77939862511627</v>
      </c>
    </row>
    <row r="123" spans="1:8" ht="15" customHeight="1">
      <c r="A123" s="133"/>
      <c r="B123" s="133"/>
      <c r="C123" s="133"/>
      <c r="D123" s="104"/>
      <c r="E123" s="134"/>
      <c r="F123" s="134"/>
      <c r="G123" s="134"/>
      <c r="H123" s="231"/>
    </row>
    <row r="124" spans="1:8" ht="15" customHeight="1" hidden="1">
      <c r="A124" s="133"/>
      <c r="B124" s="133"/>
      <c r="C124" s="133"/>
      <c r="D124" s="104"/>
      <c r="E124" s="134"/>
      <c r="F124" s="134"/>
      <c r="G124" s="134"/>
      <c r="H124" s="231"/>
    </row>
    <row r="125" spans="1:8" ht="12.75" customHeight="1" hidden="1">
      <c r="A125" s="133"/>
      <c r="B125" s="133"/>
      <c r="C125" s="133"/>
      <c r="D125" s="104"/>
      <c r="E125" s="134"/>
      <c r="F125" s="134"/>
      <c r="G125" s="134"/>
      <c r="H125" s="231"/>
    </row>
    <row r="126" spans="1:8" ht="15" customHeight="1" thickBot="1">
      <c r="A126" s="133"/>
      <c r="B126" s="133"/>
      <c r="C126" s="133"/>
      <c r="D126" s="104"/>
      <c r="E126" s="134"/>
      <c r="F126" s="134"/>
      <c r="G126" s="134"/>
      <c r="H126" s="231"/>
    </row>
    <row r="127" spans="1:8" ht="15.75">
      <c r="A127" s="215" t="s">
        <v>3</v>
      </c>
      <c r="B127" s="215" t="s">
        <v>4</v>
      </c>
      <c r="C127" s="215" t="s">
        <v>210</v>
      </c>
      <c r="D127" s="216" t="s">
        <v>5</v>
      </c>
      <c r="E127" s="217" t="s">
        <v>6</v>
      </c>
      <c r="F127" s="217" t="s">
        <v>6</v>
      </c>
      <c r="G127" s="217" t="s">
        <v>7</v>
      </c>
      <c r="H127" s="226" t="s">
        <v>211</v>
      </c>
    </row>
    <row r="128" spans="1:8" ht="15.75" customHeight="1" thickBot="1">
      <c r="A128" s="218"/>
      <c r="B128" s="218"/>
      <c r="C128" s="218"/>
      <c r="D128" s="219"/>
      <c r="E128" s="220" t="s">
        <v>9</v>
      </c>
      <c r="F128" s="220" t="s">
        <v>10</v>
      </c>
      <c r="G128" s="221" t="s">
        <v>12</v>
      </c>
      <c r="H128" s="227" t="s">
        <v>212</v>
      </c>
    </row>
    <row r="129" spans="1:8" ht="16.5" customHeight="1" thickTop="1">
      <c r="A129" s="108">
        <v>50</v>
      </c>
      <c r="B129" s="108"/>
      <c r="C129" s="108"/>
      <c r="D129" s="109" t="s">
        <v>124</v>
      </c>
      <c r="E129" s="110"/>
      <c r="F129" s="110"/>
      <c r="G129" s="110"/>
      <c r="H129" s="228"/>
    </row>
    <row r="130" spans="1:8" ht="15" customHeight="1">
      <c r="A130" s="55"/>
      <c r="B130" s="55"/>
      <c r="C130" s="55"/>
      <c r="D130" s="65"/>
      <c r="E130" s="82"/>
      <c r="F130" s="82"/>
      <c r="G130" s="82"/>
      <c r="H130" s="222"/>
    </row>
    <row r="131" spans="1:8" ht="15">
      <c r="A131" s="55"/>
      <c r="B131" s="55"/>
      <c r="C131" s="55">
        <v>1361</v>
      </c>
      <c r="D131" s="55" t="s">
        <v>215</v>
      </c>
      <c r="E131" s="82">
        <v>8</v>
      </c>
      <c r="F131" s="82">
        <v>8</v>
      </c>
      <c r="G131" s="82">
        <v>7</v>
      </c>
      <c r="H131" s="222">
        <f aca="true" t="shared" si="3" ref="H131:H154">(G131/F131)*100</f>
        <v>87.5</v>
      </c>
    </row>
    <row r="132" spans="1:8" ht="15">
      <c r="A132" s="55">
        <v>13235</v>
      </c>
      <c r="B132" s="55"/>
      <c r="C132" s="55">
        <v>4116</v>
      </c>
      <c r="D132" s="55" t="s">
        <v>308</v>
      </c>
      <c r="E132" s="82">
        <v>105000</v>
      </c>
      <c r="F132" s="82">
        <v>105000</v>
      </c>
      <c r="G132" s="82">
        <v>54428</v>
      </c>
      <c r="H132" s="222">
        <f t="shared" si="3"/>
        <v>51.83619047619048</v>
      </c>
    </row>
    <row r="133" spans="1:8" ht="15">
      <c r="A133" s="55">
        <v>13306</v>
      </c>
      <c r="B133" s="55"/>
      <c r="C133" s="55">
        <v>4116</v>
      </c>
      <c r="D133" s="55" t="s">
        <v>309</v>
      </c>
      <c r="E133" s="82">
        <v>30100</v>
      </c>
      <c r="F133" s="82">
        <v>30100</v>
      </c>
      <c r="G133" s="82">
        <v>16000</v>
      </c>
      <c r="H133" s="222">
        <f t="shared" si="3"/>
        <v>53.156146179402</v>
      </c>
    </row>
    <row r="134" spans="1:8" ht="15" hidden="1">
      <c r="A134" s="55"/>
      <c r="B134" s="55"/>
      <c r="C134" s="55">
        <v>4116</v>
      </c>
      <c r="D134" s="55" t="s">
        <v>310</v>
      </c>
      <c r="E134" s="82"/>
      <c r="F134" s="82"/>
      <c r="G134" s="82"/>
      <c r="H134" s="222" t="e">
        <f t="shared" si="3"/>
        <v>#DIV/0!</v>
      </c>
    </row>
    <row r="135" spans="1:8" ht="15" hidden="1">
      <c r="A135" s="55">
        <v>434</v>
      </c>
      <c r="B135" s="55"/>
      <c r="C135" s="55">
        <v>4122</v>
      </c>
      <c r="D135" s="55" t="s">
        <v>311</v>
      </c>
      <c r="E135" s="82"/>
      <c r="F135" s="82"/>
      <c r="G135" s="82"/>
      <c r="H135" s="222" t="e">
        <f t="shared" si="3"/>
        <v>#DIV/0!</v>
      </c>
    </row>
    <row r="136" spans="1:8" ht="15" customHeight="1">
      <c r="A136" s="55"/>
      <c r="B136" s="55">
        <v>3599</v>
      </c>
      <c r="C136" s="55">
        <v>2324</v>
      </c>
      <c r="D136" s="55" t="s">
        <v>312</v>
      </c>
      <c r="E136" s="82">
        <v>0</v>
      </c>
      <c r="F136" s="82">
        <v>0</v>
      </c>
      <c r="G136" s="82">
        <v>1.3</v>
      </c>
      <c r="H136" s="222" t="e">
        <f t="shared" si="3"/>
        <v>#DIV/0!</v>
      </c>
    </row>
    <row r="137" spans="1:8" ht="15" customHeight="1">
      <c r="A137" s="55"/>
      <c r="B137" s="55">
        <v>4171</v>
      </c>
      <c r="C137" s="55">
        <v>2229</v>
      </c>
      <c r="D137" s="55" t="s">
        <v>313</v>
      </c>
      <c r="E137" s="82">
        <v>0</v>
      </c>
      <c r="F137" s="82">
        <v>0</v>
      </c>
      <c r="G137" s="82">
        <v>6.8</v>
      </c>
      <c r="H137" s="222" t="e">
        <f t="shared" si="3"/>
        <v>#DIV/0!</v>
      </c>
    </row>
    <row r="138" spans="1:8" ht="15" customHeight="1">
      <c r="A138" s="55"/>
      <c r="B138" s="55">
        <v>4172</v>
      </c>
      <c r="C138" s="55">
        <v>2229</v>
      </c>
      <c r="D138" s="55" t="s">
        <v>314</v>
      </c>
      <c r="E138" s="82">
        <v>0</v>
      </c>
      <c r="F138" s="82">
        <v>0</v>
      </c>
      <c r="G138" s="82">
        <v>0.1</v>
      </c>
      <c r="H138" s="222" t="e">
        <f t="shared" si="3"/>
        <v>#DIV/0!</v>
      </c>
    </row>
    <row r="139" spans="1:8" ht="15" customHeight="1">
      <c r="A139" s="55"/>
      <c r="B139" s="55">
        <v>4179</v>
      </c>
      <c r="C139" s="55">
        <v>2229</v>
      </c>
      <c r="D139" s="55" t="s">
        <v>315</v>
      </c>
      <c r="E139" s="82">
        <v>0</v>
      </c>
      <c r="F139" s="82">
        <v>0</v>
      </c>
      <c r="G139" s="82">
        <v>1.8</v>
      </c>
      <c r="H139" s="222" t="e">
        <f t="shared" si="3"/>
        <v>#DIV/0!</v>
      </c>
    </row>
    <row r="140" spans="1:8" ht="15" customHeight="1" hidden="1">
      <c r="A140" s="55"/>
      <c r="B140" s="55">
        <v>4181</v>
      </c>
      <c r="C140" s="55">
        <v>2229</v>
      </c>
      <c r="D140" s="55" t="s">
        <v>316</v>
      </c>
      <c r="E140" s="82">
        <v>0</v>
      </c>
      <c r="F140" s="82">
        <v>0</v>
      </c>
      <c r="G140" s="82"/>
      <c r="H140" s="222" t="e">
        <f t="shared" si="3"/>
        <v>#DIV/0!</v>
      </c>
    </row>
    <row r="141" spans="1:8" ht="15" hidden="1">
      <c r="A141" s="55"/>
      <c r="B141" s="55">
        <v>4182</v>
      </c>
      <c r="C141" s="55">
        <v>2229</v>
      </c>
      <c r="D141" s="55" t="s">
        <v>317</v>
      </c>
      <c r="E141" s="82">
        <v>0</v>
      </c>
      <c r="F141" s="82">
        <v>0</v>
      </c>
      <c r="G141" s="82"/>
      <c r="H141" s="222" t="e">
        <f t="shared" si="3"/>
        <v>#DIV/0!</v>
      </c>
    </row>
    <row r="142" spans="1:8" ht="15" hidden="1">
      <c r="A142" s="55"/>
      <c r="B142" s="55">
        <v>4183</v>
      </c>
      <c r="C142" s="55">
        <v>2229</v>
      </c>
      <c r="D142" s="55" t="s">
        <v>318</v>
      </c>
      <c r="E142" s="82">
        <v>0</v>
      </c>
      <c r="F142" s="82">
        <v>0</v>
      </c>
      <c r="G142" s="82"/>
      <c r="H142" s="222" t="e">
        <f t="shared" si="3"/>
        <v>#DIV/0!</v>
      </c>
    </row>
    <row r="143" spans="1:8" ht="15">
      <c r="A143" s="55"/>
      <c r="B143" s="55">
        <v>4184</v>
      </c>
      <c r="C143" s="55">
        <v>2229</v>
      </c>
      <c r="D143" s="55" t="s">
        <v>319</v>
      </c>
      <c r="E143" s="82">
        <v>0</v>
      </c>
      <c r="F143" s="82">
        <v>0</v>
      </c>
      <c r="G143" s="82">
        <v>5</v>
      </c>
      <c r="H143" s="222" t="e">
        <f t="shared" si="3"/>
        <v>#DIV/0!</v>
      </c>
    </row>
    <row r="144" spans="1:8" ht="15">
      <c r="A144" s="55"/>
      <c r="B144" s="55">
        <v>4185</v>
      </c>
      <c r="C144" s="55">
        <v>2229</v>
      </c>
      <c r="D144" s="55" t="s">
        <v>320</v>
      </c>
      <c r="E144" s="82">
        <v>0</v>
      </c>
      <c r="F144" s="82">
        <v>0</v>
      </c>
      <c r="G144" s="82">
        <v>0.4</v>
      </c>
      <c r="H144" s="222" t="e">
        <f t="shared" si="3"/>
        <v>#DIV/0!</v>
      </c>
    </row>
    <row r="145" spans="1:8" ht="15" hidden="1">
      <c r="A145" s="55"/>
      <c r="B145" s="55">
        <v>4189</v>
      </c>
      <c r="C145" s="55">
        <v>2229</v>
      </c>
      <c r="D145" s="55" t="s">
        <v>321</v>
      </c>
      <c r="E145" s="82">
        <v>0</v>
      </c>
      <c r="F145" s="82">
        <v>0</v>
      </c>
      <c r="G145" s="82"/>
      <c r="H145" s="222" t="e">
        <f t="shared" si="3"/>
        <v>#DIV/0!</v>
      </c>
    </row>
    <row r="146" spans="1:8" ht="15">
      <c r="A146" s="55"/>
      <c r="B146" s="55">
        <v>4195</v>
      </c>
      <c r="C146" s="55">
        <v>2229</v>
      </c>
      <c r="D146" s="55" t="s">
        <v>322</v>
      </c>
      <c r="E146" s="82">
        <v>0</v>
      </c>
      <c r="F146" s="82">
        <v>0</v>
      </c>
      <c r="G146" s="82">
        <v>0</v>
      </c>
      <c r="H146" s="222" t="e">
        <f t="shared" si="3"/>
        <v>#DIV/0!</v>
      </c>
    </row>
    <row r="147" spans="1:8" ht="15" hidden="1">
      <c r="A147" s="55"/>
      <c r="B147" s="55">
        <v>4329</v>
      </c>
      <c r="C147" s="55">
        <v>2229</v>
      </c>
      <c r="D147" s="55" t="s">
        <v>323</v>
      </c>
      <c r="E147" s="82">
        <v>0</v>
      </c>
      <c r="F147" s="82">
        <v>0</v>
      </c>
      <c r="G147" s="82"/>
      <c r="H147" s="222" t="e">
        <f t="shared" si="3"/>
        <v>#DIV/0!</v>
      </c>
    </row>
    <row r="148" spans="1:8" ht="15" hidden="1">
      <c r="A148" s="55"/>
      <c r="B148" s="55">
        <v>4329</v>
      </c>
      <c r="C148" s="55">
        <v>2324</v>
      </c>
      <c r="D148" s="55" t="s">
        <v>324</v>
      </c>
      <c r="E148" s="82">
        <v>0</v>
      </c>
      <c r="F148" s="82">
        <v>0</v>
      </c>
      <c r="G148" s="82"/>
      <c r="H148" s="222" t="e">
        <f t="shared" si="3"/>
        <v>#DIV/0!</v>
      </c>
    </row>
    <row r="149" spans="1:8" ht="15" hidden="1">
      <c r="A149" s="55"/>
      <c r="B149" s="55">
        <v>4342</v>
      </c>
      <c r="C149" s="55">
        <v>2324</v>
      </c>
      <c r="D149" s="55" t="s">
        <v>325</v>
      </c>
      <c r="E149" s="82">
        <v>0</v>
      </c>
      <c r="F149" s="82">
        <v>0</v>
      </c>
      <c r="G149" s="82"/>
      <c r="H149" s="222" t="e">
        <f t="shared" si="3"/>
        <v>#DIV/0!</v>
      </c>
    </row>
    <row r="150" spans="1:8" ht="15" hidden="1">
      <c r="A150" s="55"/>
      <c r="B150" s="55">
        <v>4349</v>
      </c>
      <c r="C150" s="55">
        <v>2229</v>
      </c>
      <c r="D150" s="55" t="s">
        <v>326</v>
      </c>
      <c r="E150" s="82">
        <v>0</v>
      </c>
      <c r="F150" s="82">
        <v>0</v>
      </c>
      <c r="G150" s="82"/>
      <c r="H150" s="222" t="e">
        <f t="shared" si="3"/>
        <v>#DIV/0!</v>
      </c>
    </row>
    <row r="151" spans="1:8" ht="15" hidden="1">
      <c r="A151" s="55"/>
      <c r="B151" s="55">
        <v>4399</v>
      </c>
      <c r="C151" s="55">
        <v>2324</v>
      </c>
      <c r="D151" s="55" t="s">
        <v>327</v>
      </c>
      <c r="E151" s="82">
        <v>0</v>
      </c>
      <c r="F151" s="82">
        <v>0</v>
      </c>
      <c r="G151" s="82"/>
      <c r="H151" s="222" t="e">
        <f t="shared" si="3"/>
        <v>#DIV/0!</v>
      </c>
    </row>
    <row r="152" spans="1:8" ht="15" hidden="1">
      <c r="A152" s="55"/>
      <c r="B152" s="55">
        <v>6171</v>
      </c>
      <c r="C152" s="55">
        <v>2111</v>
      </c>
      <c r="D152" s="55" t="s">
        <v>328</v>
      </c>
      <c r="E152" s="82">
        <v>0</v>
      </c>
      <c r="F152" s="82">
        <v>0</v>
      </c>
      <c r="G152" s="82"/>
      <c r="H152" s="222" t="e">
        <f t="shared" si="3"/>
        <v>#DIV/0!</v>
      </c>
    </row>
    <row r="153" spans="1:8" ht="15">
      <c r="A153" s="55"/>
      <c r="B153" s="55">
        <v>6171</v>
      </c>
      <c r="C153" s="55">
        <v>2212</v>
      </c>
      <c r="D153" s="55" t="s">
        <v>329</v>
      </c>
      <c r="E153" s="82">
        <v>0</v>
      </c>
      <c r="F153" s="82">
        <v>0</v>
      </c>
      <c r="G153" s="82">
        <v>2.9</v>
      </c>
      <c r="H153" s="222" t="e">
        <f t="shared" si="3"/>
        <v>#DIV/0!</v>
      </c>
    </row>
    <row r="154" spans="1:8" ht="15">
      <c r="A154" s="111"/>
      <c r="B154" s="55">
        <v>6171</v>
      </c>
      <c r="C154" s="55">
        <v>2324</v>
      </c>
      <c r="D154" s="55" t="s">
        <v>238</v>
      </c>
      <c r="E154" s="82">
        <v>0</v>
      </c>
      <c r="F154" s="82">
        <v>0</v>
      </c>
      <c r="G154" s="82">
        <v>1</v>
      </c>
      <c r="H154" s="222" t="e">
        <f t="shared" si="3"/>
        <v>#DIV/0!</v>
      </c>
    </row>
    <row r="155" spans="1:8" ht="15" hidden="1">
      <c r="A155" s="111"/>
      <c r="B155" s="111">
        <v>6171</v>
      </c>
      <c r="C155" s="111">
        <v>2329</v>
      </c>
      <c r="D155" s="111" t="s">
        <v>330</v>
      </c>
      <c r="E155" s="83"/>
      <c r="F155" s="83"/>
      <c r="G155" s="83"/>
      <c r="H155" s="222" t="e">
        <f>(#REF!/F155)*100</f>
        <v>#REF!</v>
      </c>
    </row>
    <row r="156" spans="1:8" ht="15" hidden="1">
      <c r="A156" s="55"/>
      <c r="B156" s="55">
        <v>6409</v>
      </c>
      <c r="C156" s="55">
        <v>2229</v>
      </c>
      <c r="D156" s="55" t="s">
        <v>331</v>
      </c>
      <c r="E156" s="82"/>
      <c r="F156" s="82"/>
      <c r="G156" s="82"/>
      <c r="H156" s="222" t="e">
        <f>(#REF!/F156)*100</f>
        <v>#REF!</v>
      </c>
    </row>
    <row r="157" spans="1:8" ht="15" customHeight="1" thickBot="1">
      <c r="A157" s="138"/>
      <c r="B157" s="138"/>
      <c r="C157" s="138"/>
      <c r="D157" s="138"/>
      <c r="E157" s="139"/>
      <c r="F157" s="139"/>
      <c r="G157" s="139"/>
      <c r="H157" s="222"/>
    </row>
    <row r="158" spans="1:8" s="97" customFormat="1" ht="21.75" customHeight="1" thickBot="1" thickTop="1">
      <c r="A158" s="141"/>
      <c r="B158" s="141"/>
      <c r="C158" s="141"/>
      <c r="D158" s="142" t="s">
        <v>332</v>
      </c>
      <c r="E158" s="143">
        <f>SUM(E130:E157)</f>
        <v>135108</v>
      </c>
      <c r="F158" s="143">
        <f>SUM(F130:F157)</f>
        <v>135108</v>
      </c>
      <c r="G158" s="143">
        <f>SUM(G130:G157)</f>
        <v>70454.3</v>
      </c>
      <c r="H158" s="224">
        <f>(G158/F158)*100</f>
        <v>52.14665304793202</v>
      </c>
    </row>
    <row r="159" spans="1:8" ht="15" customHeight="1">
      <c r="A159" s="133"/>
      <c r="B159" s="97"/>
      <c r="C159" s="133"/>
      <c r="D159" s="144"/>
      <c r="E159" s="134"/>
      <c r="F159" s="134"/>
      <c r="G159" s="102"/>
      <c r="H159" s="230"/>
    </row>
    <row r="160" spans="1:8" ht="14.25" customHeight="1" hidden="1">
      <c r="A160" s="97"/>
      <c r="B160" s="97"/>
      <c r="C160" s="97"/>
      <c r="D160" s="97"/>
      <c r="E160" s="98"/>
      <c r="F160" s="98"/>
      <c r="G160" s="98"/>
      <c r="H160" s="225"/>
    </row>
    <row r="161" spans="1:8" ht="14.25" customHeight="1" thickBot="1">
      <c r="A161" s="97"/>
      <c r="B161" s="97"/>
      <c r="C161" s="97"/>
      <c r="D161" s="97"/>
      <c r="E161" s="98"/>
      <c r="F161" s="98"/>
      <c r="G161" s="98"/>
      <c r="H161" s="225"/>
    </row>
    <row r="162" spans="1:8" ht="13.5" customHeight="1" hidden="1">
      <c r="A162" s="97"/>
      <c r="B162" s="97"/>
      <c r="C162" s="97"/>
      <c r="D162" s="97"/>
      <c r="E162" s="98"/>
      <c r="F162" s="98"/>
      <c r="G162" s="98"/>
      <c r="H162" s="225"/>
    </row>
    <row r="163" spans="1:8" ht="13.5" customHeight="1" hidden="1">
      <c r="A163" s="97"/>
      <c r="B163" s="97"/>
      <c r="C163" s="97"/>
      <c r="D163" s="97"/>
      <c r="E163" s="98"/>
      <c r="F163" s="98"/>
      <c r="G163" s="98"/>
      <c r="H163" s="225"/>
    </row>
    <row r="164" spans="1:8" ht="13.5" customHeight="1" hidden="1" thickBot="1">
      <c r="A164" s="97"/>
      <c r="B164" s="97"/>
      <c r="C164" s="97"/>
      <c r="D164" s="97"/>
      <c r="E164" s="98"/>
      <c r="F164" s="98"/>
      <c r="G164" s="98"/>
      <c r="H164" s="225"/>
    </row>
    <row r="165" spans="1:8" ht="15.75">
      <c r="A165" s="215" t="s">
        <v>3</v>
      </c>
      <c r="B165" s="215" t="s">
        <v>4</v>
      </c>
      <c r="C165" s="215" t="s">
        <v>210</v>
      </c>
      <c r="D165" s="216" t="s">
        <v>5</v>
      </c>
      <c r="E165" s="217" t="s">
        <v>6</v>
      </c>
      <c r="F165" s="217" t="s">
        <v>6</v>
      </c>
      <c r="G165" s="217" t="s">
        <v>7</v>
      </c>
      <c r="H165" s="226" t="s">
        <v>211</v>
      </c>
    </row>
    <row r="166" spans="1:8" ht="15.75" customHeight="1" thickBot="1">
      <c r="A166" s="218"/>
      <c r="B166" s="218"/>
      <c r="C166" s="218"/>
      <c r="D166" s="219"/>
      <c r="E166" s="220" t="s">
        <v>9</v>
      </c>
      <c r="F166" s="220" t="s">
        <v>10</v>
      </c>
      <c r="G166" s="221" t="s">
        <v>12</v>
      </c>
      <c r="H166" s="227" t="s">
        <v>212</v>
      </c>
    </row>
    <row r="167" spans="1:8" ht="15.75" customHeight="1" thickTop="1">
      <c r="A167" s="108">
        <v>60</v>
      </c>
      <c r="B167" s="108"/>
      <c r="C167" s="108"/>
      <c r="D167" s="109" t="s">
        <v>157</v>
      </c>
      <c r="E167" s="110"/>
      <c r="F167" s="110"/>
      <c r="G167" s="110"/>
      <c r="H167" s="228"/>
    </row>
    <row r="168" spans="1:8" ht="14.25" customHeight="1">
      <c r="A168" s="65"/>
      <c r="B168" s="65"/>
      <c r="C168" s="65"/>
      <c r="D168" s="65"/>
      <c r="E168" s="82"/>
      <c r="F168" s="82"/>
      <c r="G168" s="82"/>
      <c r="H168" s="222"/>
    </row>
    <row r="169" spans="1:8" ht="15">
      <c r="A169" s="55"/>
      <c r="B169" s="55"/>
      <c r="C169" s="55">
        <v>1332</v>
      </c>
      <c r="D169" s="55" t="s">
        <v>333</v>
      </c>
      <c r="E169" s="82">
        <v>4</v>
      </c>
      <c r="F169" s="82">
        <v>4</v>
      </c>
      <c r="G169" s="82">
        <v>0</v>
      </c>
      <c r="H169" s="222">
        <f aca="true" t="shared" si="4" ref="H169:H180">(G169/F169)*100</f>
        <v>0</v>
      </c>
    </row>
    <row r="170" spans="1:8" ht="15">
      <c r="A170" s="55"/>
      <c r="B170" s="55"/>
      <c r="C170" s="55">
        <v>1333</v>
      </c>
      <c r="D170" s="55" t="s">
        <v>334</v>
      </c>
      <c r="E170" s="82">
        <v>200</v>
      </c>
      <c r="F170" s="82">
        <v>200</v>
      </c>
      <c r="G170" s="82">
        <v>356.2</v>
      </c>
      <c r="H170" s="222">
        <f t="shared" si="4"/>
        <v>178.1</v>
      </c>
    </row>
    <row r="171" spans="1:8" ht="15">
      <c r="A171" s="55"/>
      <c r="B171" s="55"/>
      <c r="C171" s="55">
        <v>1334</v>
      </c>
      <c r="D171" s="55" t="s">
        <v>335</v>
      </c>
      <c r="E171" s="82">
        <v>60</v>
      </c>
      <c r="F171" s="82">
        <v>60</v>
      </c>
      <c r="G171" s="82">
        <v>13.9</v>
      </c>
      <c r="H171" s="222">
        <f t="shared" si="4"/>
        <v>23.166666666666664</v>
      </c>
    </row>
    <row r="172" spans="1:8" ht="15">
      <c r="A172" s="55"/>
      <c r="B172" s="55"/>
      <c r="C172" s="55">
        <v>1335</v>
      </c>
      <c r="D172" s="55" t="s">
        <v>336</v>
      </c>
      <c r="E172" s="82">
        <v>6</v>
      </c>
      <c r="F172" s="82">
        <v>6</v>
      </c>
      <c r="G172" s="82">
        <v>12.9</v>
      </c>
      <c r="H172" s="222">
        <f t="shared" si="4"/>
        <v>215</v>
      </c>
    </row>
    <row r="173" spans="1:8" ht="15">
      <c r="A173" s="55"/>
      <c r="B173" s="55"/>
      <c r="C173" s="55">
        <v>1361</v>
      </c>
      <c r="D173" s="55" t="s">
        <v>215</v>
      </c>
      <c r="E173" s="82">
        <v>250</v>
      </c>
      <c r="F173" s="82">
        <v>250</v>
      </c>
      <c r="G173" s="82">
        <v>241.2</v>
      </c>
      <c r="H173" s="222">
        <f t="shared" si="4"/>
        <v>96.48</v>
      </c>
    </row>
    <row r="174" spans="1:8" ht="15" customHeight="1" hidden="1">
      <c r="A174" s="55">
        <v>29004</v>
      </c>
      <c r="B174" s="55"/>
      <c r="C174" s="55">
        <v>4116</v>
      </c>
      <c r="D174" s="55" t="s">
        <v>337</v>
      </c>
      <c r="E174" s="82">
        <v>0</v>
      </c>
      <c r="F174" s="82">
        <v>0</v>
      </c>
      <c r="G174" s="82">
        <v>0</v>
      </c>
      <c r="H174" s="222" t="e">
        <f t="shared" si="4"/>
        <v>#DIV/0!</v>
      </c>
    </row>
    <row r="175" spans="1:8" ht="15">
      <c r="A175" s="55">
        <v>29008</v>
      </c>
      <c r="B175" s="55"/>
      <c r="C175" s="55">
        <v>4116</v>
      </c>
      <c r="D175" s="55" t="s">
        <v>338</v>
      </c>
      <c r="E175" s="82">
        <v>0</v>
      </c>
      <c r="F175" s="82">
        <v>13.9</v>
      </c>
      <c r="G175" s="82">
        <v>27.6</v>
      </c>
      <c r="H175" s="222">
        <f t="shared" si="4"/>
        <v>198.5611510791367</v>
      </c>
    </row>
    <row r="176" spans="1:8" ht="15" hidden="1">
      <c r="A176" s="55"/>
      <c r="B176" s="55"/>
      <c r="C176" s="55">
        <v>4222</v>
      </c>
      <c r="D176" s="55" t="s">
        <v>339</v>
      </c>
      <c r="E176" s="82"/>
      <c r="F176" s="82"/>
      <c r="G176" s="82"/>
      <c r="H176" s="222" t="e">
        <f t="shared" si="4"/>
        <v>#DIV/0!</v>
      </c>
    </row>
    <row r="177" spans="1:8" ht="15">
      <c r="A177" s="111"/>
      <c r="B177" s="111">
        <v>2119</v>
      </c>
      <c r="C177" s="111">
        <v>2343</v>
      </c>
      <c r="D177" s="111" t="s">
        <v>340</v>
      </c>
      <c r="E177" s="83">
        <v>12375</v>
      </c>
      <c r="F177" s="83">
        <v>12375</v>
      </c>
      <c r="G177" s="83">
        <v>3007.6</v>
      </c>
      <c r="H177" s="222">
        <f t="shared" si="4"/>
        <v>24.303838383838382</v>
      </c>
    </row>
    <row r="178" spans="1:8" ht="15" hidden="1">
      <c r="A178" s="111"/>
      <c r="B178" s="111">
        <v>3719</v>
      </c>
      <c r="C178" s="111">
        <v>2210</v>
      </c>
      <c r="D178" s="111" t="s">
        <v>341</v>
      </c>
      <c r="E178" s="83"/>
      <c r="F178" s="83"/>
      <c r="G178" s="83"/>
      <c r="H178" s="222" t="e">
        <f t="shared" si="4"/>
        <v>#DIV/0!</v>
      </c>
    </row>
    <row r="179" spans="1:8" ht="15">
      <c r="A179" s="55"/>
      <c r="B179" s="55">
        <v>6171</v>
      </c>
      <c r="C179" s="55">
        <v>2212</v>
      </c>
      <c r="D179" s="55" t="s">
        <v>299</v>
      </c>
      <c r="E179" s="82">
        <v>100</v>
      </c>
      <c r="F179" s="82">
        <v>100</v>
      </c>
      <c r="G179" s="82">
        <v>18.5</v>
      </c>
      <c r="H179" s="222">
        <f t="shared" si="4"/>
        <v>18.5</v>
      </c>
    </row>
    <row r="180" spans="1:8" ht="15">
      <c r="A180" s="55"/>
      <c r="B180" s="55">
        <v>6171</v>
      </c>
      <c r="C180" s="55">
        <v>2324</v>
      </c>
      <c r="D180" s="55" t="s">
        <v>342</v>
      </c>
      <c r="E180" s="82">
        <v>5</v>
      </c>
      <c r="F180" s="82">
        <v>5</v>
      </c>
      <c r="G180" s="82">
        <v>2</v>
      </c>
      <c r="H180" s="222">
        <f t="shared" si="4"/>
        <v>40</v>
      </c>
    </row>
    <row r="181" spans="1:8" ht="15" hidden="1">
      <c r="A181" s="55"/>
      <c r="B181" s="55">
        <v>6171</v>
      </c>
      <c r="C181" s="55">
        <v>2329</v>
      </c>
      <c r="D181" s="55" t="s">
        <v>343</v>
      </c>
      <c r="E181" s="82"/>
      <c r="F181" s="82"/>
      <c r="G181" s="82"/>
      <c r="H181" s="222"/>
    </row>
    <row r="182" spans="1:8" ht="15" customHeight="1" thickBot="1">
      <c r="A182" s="138"/>
      <c r="B182" s="138"/>
      <c r="C182" s="138"/>
      <c r="D182" s="138"/>
      <c r="E182" s="139"/>
      <c r="F182" s="139"/>
      <c r="G182" s="139"/>
      <c r="H182" s="233"/>
    </row>
    <row r="183" spans="1:8" s="97" customFormat="1" ht="21.75" customHeight="1" thickBot="1" thickTop="1">
      <c r="A183" s="141"/>
      <c r="B183" s="141"/>
      <c r="C183" s="141"/>
      <c r="D183" s="142" t="s">
        <v>344</v>
      </c>
      <c r="E183" s="143">
        <f>SUM(E168:E182)</f>
        <v>13000</v>
      </c>
      <c r="F183" s="143">
        <f>SUM(F168:F182)</f>
        <v>13013.9</v>
      </c>
      <c r="G183" s="143">
        <f>SUM(G168:G182)</f>
        <v>3679.8999999999996</v>
      </c>
      <c r="H183" s="224">
        <f>(G183/F183)*100</f>
        <v>28.27668877123691</v>
      </c>
    </row>
    <row r="184" spans="1:8" ht="14.25" customHeight="1">
      <c r="A184" s="133"/>
      <c r="B184" s="133"/>
      <c r="C184" s="133"/>
      <c r="D184" s="104"/>
      <c r="E184" s="134"/>
      <c r="F184" s="134"/>
      <c r="G184" s="134"/>
      <c r="H184" s="231"/>
    </row>
    <row r="185" spans="1:8" ht="14.25" customHeight="1" hidden="1">
      <c r="A185" s="133"/>
      <c r="B185" s="133"/>
      <c r="C185" s="133"/>
      <c r="D185" s="104"/>
      <c r="E185" s="134"/>
      <c r="F185" s="134"/>
      <c r="G185" s="134"/>
      <c r="H185" s="231"/>
    </row>
    <row r="186" spans="1:8" ht="14.25" customHeight="1" hidden="1">
      <c r="A186" s="133"/>
      <c r="B186" s="133"/>
      <c r="C186" s="133"/>
      <c r="D186" s="104"/>
      <c r="E186" s="134"/>
      <c r="F186" s="134"/>
      <c r="G186" s="134"/>
      <c r="H186" s="231"/>
    </row>
    <row r="187" spans="1:8" ht="14.25" customHeight="1" hidden="1">
      <c r="A187" s="133"/>
      <c r="B187" s="133"/>
      <c r="C187" s="133"/>
      <c r="D187" s="104"/>
      <c r="E187" s="134"/>
      <c r="F187" s="134"/>
      <c r="G187" s="134"/>
      <c r="H187" s="231"/>
    </row>
    <row r="188" spans="1:8" ht="15" customHeight="1" hidden="1">
      <c r="A188" s="133"/>
      <c r="B188" s="133"/>
      <c r="C188" s="133"/>
      <c r="D188" s="104"/>
      <c r="E188" s="134"/>
      <c r="F188" s="134"/>
      <c r="G188" s="134"/>
      <c r="H188" s="231"/>
    </row>
    <row r="189" spans="1:8" ht="15" customHeight="1" thickBot="1">
      <c r="A189" s="133"/>
      <c r="B189" s="133"/>
      <c r="C189" s="133"/>
      <c r="D189" s="104"/>
      <c r="E189" s="134"/>
      <c r="F189" s="134"/>
      <c r="G189" s="134"/>
      <c r="H189" s="231"/>
    </row>
    <row r="190" spans="1:8" ht="15.75">
      <c r="A190" s="215" t="s">
        <v>3</v>
      </c>
      <c r="B190" s="215" t="s">
        <v>4</v>
      </c>
      <c r="C190" s="215" t="s">
        <v>210</v>
      </c>
      <c r="D190" s="216" t="s">
        <v>5</v>
      </c>
      <c r="E190" s="217" t="s">
        <v>6</v>
      </c>
      <c r="F190" s="217" t="s">
        <v>6</v>
      </c>
      <c r="G190" s="217" t="s">
        <v>7</v>
      </c>
      <c r="H190" s="226" t="s">
        <v>211</v>
      </c>
    </row>
    <row r="191" spans="1:8" ht="15.75" customHeight="1" thickBot="1">
      <c r="A191" s="218"/>
      <c r="B191" s="218"/>
      <c r="C191" s="218"/>
      <c r="D191" s="219"/>
      <c r="E191" s="220" t="s">
        <v>9</v>
      </c>
      <c r="F191" s="220" t="s">
        <v>10</v>
      </c>
      <c r="G191" s="221" t="s">
        <v>12</v>
      </c>
      <c r="H191" s="227" t="s">
        <v>212</v>
      </c>
    </row>
    <row r="192" spans="1:8" ht="15.75" customHeight="1" thickTop="1">
      <c r="A192" s="108">
        <v>70</v>
      </c>
      <c r="B192" s="108"/>
      <c r="C192" s="108"/>
      <c r="D192" s="109" t="s">
        <v>345</v>
      </c>
      <c r="E192" s="110"/>
      <c r="F192" s="110"/>
      <c r="G192" s="110"/>
      <c r="H192" s="228"/>
    </row>
    <row r="193" spans="1:8" ht="15.75">
      <c r="A193" s="65"/>
      <c r="B193" s="65"/>
      <c r="C193" s="65"/>
      <c r="D193" s="65"/>
      <c r="E193" s="82"/>
      <c r="F193" s="82"/>
      <c r="G193" s="82"/>
      <c r="H193" s="222"/>
    </row>
    <row r="194" spans="1:8" ht="15">
      <c r="A194" s="55"/>
      <c r="B194" s="55"/>
      <c r="C194" s="55">
        <v>1361</v>
      </c>
      <c r="D194" s="55" t="s">
        <v>215</v>
      </c>
      <c r="E194" s="82">
        <v>880</v>
      </c>
      <c r="F194" s="82">
        <v>880</v>
      </c>
      <c r="G194" s="82">
        <v>398.9</v>
      </c>
      <c r="H194" s="222">
        <f>(G194/F194)*100</f>
        <v>45.32954545454545</v>
      </c>
    </row>
    <row r="195" spans="1:8" ht="15">
      <c r="A195" s="55"/>
      <c r="B195" s="55">
        <v>6171</v>
      </c>
      <c r="C195" s="55">
        <v>2212</v>
      </c>
      <c r="D195" s="55" t="s">
        <v>299</v>
      </c>
      <c r="E195" s="82">
        <v>400</v>
      </c>
      <c r="F195" s="82">
        <v>400</v>
      </c>
      <c r="G195" s="82">
        <v>162</v>
      </c>
      <c r="H195" s="222">
        <f>(G195/F195)*100</f>
        <v>40.5</v>
      </c>
    </row>
    <row r="196" spans="1:8" ht="15">
      <c r="A196" s="111"/>
      <c r="B196" s="111">
        <v>6171</v>
      </c>
      <c r="C196" s="111">
        <v>2324</v>
      </c>
      <c r="D196" s="111" t="s">
        <v>346</v>
      </c>
      <c r="E196" s="82">
        <v>20</v>
      </c>
      <c r="F196" s="82">
        <v>20</v>
      </c>
      <c r="G196" s="82">
        <v>3</v>
      </c>
      <c r="H196" s="222">
        <f>(G196/F196)*100</f>
        <v>15</v>
      </c>
    </row>
    <row r="197" spans="1:8" ht="15.75" thickBot="1">
      <c r="A197" s="138"/>
      <c r="B197" s="138"/>
      <c r="C197" s="138"/>
      <c r="D197" s="138"/>
      <c r="E197" s="139"/>
      <c r="F197" s="139"/>
      <c r="G197" s="139"/>
      <c r="H197" s="233"/>
    </row>
    <row r="198" spans="1:8" s="97" customFormat="1" ht="21.75" customHeight="1" thickBot="1" thickTop="1">
      <c r="A198" s="141"/>
      <c r="B198" s="141"/>
      <c r="C198" s="141"/>
      <c r="D198" s="142" t="s">
        <v>347</v>
      </c>
      <c r="E198" s="143">
        <f>SUM(E193:E197)</f>
        <v>1300</v>
      </c>
      <c r="F198" s="143">
        <f>SUM(F193:F197)</f>
        <v>1300</v>
      </c>
      <c r="G198" s="143">
        <f>SUM(G193:G197)</f>
        <v>563.9</v>
      </c>
      <c r="H198" s="224">
        <f>(G198/F198)*100</f>
        <v>43.37692307692308</v>
      </c>
    </row>
    <row r="199" spans="1:8" ht="15" customHeight="1">
      <c r="A199" s="133"/>
      <c r="B199" s="133"/>
      <c r="C199" s="133"/>
      <c r="D199" s="104"/>
      <c r="E199" s="134"/>
      <c r="F199" s="134"/>
      <c r="G199" s="134"/>
      <c r="H199" s="231"/>
    </row>
    <row r="200" spans="1:8" ht="15" customHeight="1" hidden="1">
      <c r="A200" s="133"/>
      <c r="B200" s="133"/>
      <c r="C200" s="133"/>
      <c r="D200" s="104"/>
      <c r="E200" s="134"/>
      <c r="F200" s="134"/>
      <c r="G200" s="134"/>
      <c r="H200" s="231"/>
    </row>
    <row r="201" spans="1:8" ht="15" customHeight="1" thickBot="1">
      <c r="A201" s="133"/>
      <c r="B201" s="133"/>
      <c r="C201" s="133"/>
      <c r="D201" s="104"/>
      <c r="E201" s="134"/>
      <c r="F201" s="134"/>
      <c r="G201" s="134"/>
      <c r="H201" s="231"/>
    </row>
    <row r="202" spans="1:8" ht="15.75">
      <c r="A202" s="215" t="s">
        <v>3</v>
      </c>
      <c r="B202" s="215" t="s">
        <v>4</v>
      </c>
      <c r="C202" s="215" t="s">
        <v>210</v>
      </c>
      <c r="D202" s="216" t="s">
        <v>5</v>
      </c>
      <c r="E202" s="217" t="s">
        <v>6</v>
      </c>
      <c r="F202" s="217" t="s">
        <v>6</v>
      </c>
      <c r="G202" s="217" t="s">
        <v>7</v>
      </c>
      <c r="H202" s="226" t="s">
        <v>211</v>
      </c>
    </row>
    <row r="203" spans="1:8" ht="15.75" customHeight="1" thickBot="1">
      <c r="A203" s="218"/>
      <c r="B203" s="218"/>
      <c r="C203" s="218"/>
      <c r="D203" s="219"/>
      <c r="E203" s="220" t="s">
        <v>9</v>
      </c>
      <c r="F203" s="220" t="s">
        <v>10</v>
      </c>
      <c r="G203" s="221" t="s">
        <v>12</v>
      </c>
      <c r="H203" s="227" t="s">
        <v>212</v>
      </c>
    </row>
    <row r="204" spans="1:8" ht="15.75" customHeight="1" thickTop="1">
      <c r="A204" s="108">
        <v>80</v>
      </c>
      <c r="B204" s="108"/>
      <c r="C204" s="108"/>
      <c r="D204" s="109" t="s">
        <v>173</v>
      </c>
      <c r="E204" s="110"/>
      <c r="F204" s="110"/>
      <c r="G204" s="110"/>
      <c r="H204" s="228"/>
    </row>
    <row r="205" spans="1:8" ht="15">
      <c r="A205" s="55"/>
      <c r="B205" s="55"/>
      <c r="C205" s="55"/>
      <c r="D205" s="55"/>
      <c r="E205" s="82"/>
      <c r="F205" s="82"/>
      <c r="G205" s="82"/>
      <c r="H205" s="222"/>
    </row>
    <row r="206" spans="1:8" ht="15">
      <c r="A206" s="55"/>
      <c r="B206" s="55"/>
      <c r="C206" s="55">
        <v>1353</v>
      </c>
      <c r="D206" s="55" t="s">
        <v>348</v>
      </c>
      <c r="E206" s="82">
        <v>950</v>
      </c>
      <c r="F206" s="82">
        <v>950</v>
      </c>
      <c r="G206" s="82">
        <v>405.3</v>
      </c>
      <c r="H206" s="222">
        <f aca="true" t="shared" si="5" ref="H206:H211">(G206/F206)*100</f>
        <v>42.66315789473684</v>
      </c>
    </row>
    <row r="207" spans="1:8" ht="15">
      <c r="A207" s="55"/>
      <c r="B207" s="55"/>
      <c r="C207" s="55">
        <v>1359</v>
      </c>
      <c r="D207" s="55" t="s">
        <v>349</v>
      </c>
      <c r="E207" s="82">
        <v>0</v>
      </c>
      <c r="F207" s="82">
        <v>0</v>
      </c>
      <c r="G207" s="82">
        <v>210</v>
      </c>
      <c r="H207" s="222" t="e">
        <f t="shared" si="5"/>
        <v>#DIV/0!</v>
      </c>
    </row>
    <row r="208" spans="1:8" ht="15">
      <c r="A208" s="55"/>
      <c r="B208" s="55"/>
      <c r="C208" s="55">
        <v>1361</v>
      </c>
      <c r="D208" s="55" t="s">
        <v>215</v>
      </c>
      <c r="E208" s="82">
        <v>9150</v>
      </c>
      <c r="F208" s="82">
        <v>9150</v>
      </c>
      <c r="G208" s="82">
        <v>3536</v>
      </c>
      <c r="H208" s="222">
        <f t="shared" si="5"/>
        <v>38.6448087431694</v>
      </c>
    </row>
    <row r="209" spans="1:8" ht="15">
      <c r="A209" s="55"/>
      <c r="B209" s="55">
        <v>2299</v>
      </c>
      <c r="C209" s="55">
        <v>2212</v>
      </c>
      <c r="D209" s="55" t="s">
        <v>350</v>
      </c>
      <c r="E209" s="82">
        <v>2100</v>
      </c>
      <c r="F209" s="82">
        <v>2100</v>
      </c>
      <c r="G209" s="82">
        <v>1012.6</v>
      </c>
      <c r="H209" s="222">
        <f t="shared" si="5"/>
        <v>48.21904761904762</v>
      </c>
    </row>
    <row r="210" spans="1:8" ht="15">
      <c r="A210" s="111"/>
      <c r="B210" s="111">
        <v>6171</v>
      </c>
      <c r="C210" s="111">
        <v>2324</v>
      </c>
      <c r="D210" s="111" t="s">
        <v>351</v>
      </c>
      <c r="E210" s="83">
        <v>300</v>
      </c>
      <c r="F210" s="83">
        <v>300</v>
      </c>
      <c r="G210" s="83">
        <v>95.7</v>
      </c>
      <c r="H210" s="222">
        <f t="shared" si="5"/>
        <v>31.900000000000002</v>
      </c>
    </row>
    <row r="211" spans="1:8" ht="15">
      <c r="A211" s="111"/>
      <c r="B211" s="111">
        <v>6171</v>
      </c>
      <c r="C211" s="111">
        <v>2329</v>
      </c>
      <c r="D211" s="111" t="s">
        <v>352</v>
      </c>
      <c r="E211" s="112">
        <v>0</v>
      </c>
      <c r="F211" s="112">
        <v>0</v>
      </c>
      <c r="G211" s="83">
        <v>11</v>
      </c>
      <c r="H211" s="222" t="e">
        <f t="shared" si="5"/>
        <v>#DIV/0!</v>
      </c>
    </row>
    <row r="212" spans="1:8" ht="15.75" thickBot="1">
      <c r="A212" s="138"/>
      <c r="B212" s="138"/>
      <c r="C212" s="138"/>
      <c r="D212" s="138"/>
      <c r="E212" s="139"/>
      <c r="F212" s="139"/>
      <c r="G212" s="139"/>
      <c r="H212" s="233"/>
    </row>
    <row r="213" spans="1:8" s="97" customFormat="1" ht="21.75" customHeight="1" thickBot="1" thickTop="1">
      <c r="A213" s="141"/>
      <c r="B213" s="141"/>
      <c r="C213" s="141"/>
      <c r="D213" s="142" t="s">
        <v>353</v>
      </c>
      <c r="E213" s="143">
        <f>SUM(E205:E212)</f>
        <v>12500</v>
      </c>
      <c r="F213" s="143">
        <f>SUM(F205:F212)</f>
        <v>12500</v>
      </c>
      <c r="G213" s="143">
        <f>SUM(G205:G212)</f>
        <v>5270.6</v>
      </c>
      <c r="H213" s="224">
        <f>(G213/F213)*100</f>
        <v>42.1648</v>
      </c>
    </row>
    <row r="214" spans="1:8" ht="15" customHeight="1">
      <c r="A214" s="133"/>
      <c r="B214" s="133"/>
      <c r="C214" s="133"/>
      <c r="D214" s="104"/>
      <c r="E214" s="134"/>
      <c r="F214" s="134"/>
      <c r="G214" s="134"/>
      <c r="H214" s="231"/>
    </row>
    <row r="215" spans="1:8" ht="15" customHeight="1" hidden="1">
      <c r="A215" s="133"/>
      <c r="B215" s="133"/>
      <c r="C215" s="133"/>
      <c r="D215" s="104"/>
      <c r="E215" s="134"/>
      <c r="F215" s="134"/>
      <c r="G215" s="134"/>
      <c r="H215" s="231"/>
    </row>
    <row r="216" spans="1:8" ht="15" customHeight="1" hidden="1">
      <c r="A216" s="133"/>
      <c r="B216" s="133"/>
      <c r="C216" s="133"/>
      <c r="D216" s="104"/>
      <c r="E216" s="134"/>
      <c r="F216" s="134"/>
      <c r="G216" s="134"/>
      <c r="H216" s="231"/>
    </row>
    <row r="217" spans="1:8" ht="15" customHeight="1" thickBot="1">
      <c r="A217" s="133"/>
      <c r="B217" s="133"/>
      <c r="C217" s="133"/>
      <c r="D217" s="104"/>
      <c r="E217" s="134"/>
      <c r="F217" s="134"/>
      <c r="G217" s="134"/>
      <c r="H217" s="231"/>
    </row>
    <row r="218" spans="1:8" ht="15.75">
      <c r="A218" s="215" t="s">
        <v>3</v>
      </c>
      <c r="B218" s="215" t="s">
        <v>4</v>
      </c>
      <c r="C218" s="215" t="s">
        <v>210</v>
      </c>
      <c r="D218" s="216" t="s">
        <v>5</v>
      </c>
      <c r="E218" s="217" t="s">
        <v>6</v>
      </c>
      <c r="F218" s="217" t="s">
        <v>6</v>
      </c>
      <c r="G218" s="217" t="s">
        <v>7</v>
      </c>
      <c r="H218" s="226" t="s">
        <v>211</v>
      </c>
    </row>
    <row r="219" spans="1:8" ht="15.75" customHeight="1" thickBot="1">
      <c r="A219" s="218"/>
      <c r="B219" s="218"/>
      <c r="C219" s="218"/>
      <c r="D219" s="219"/>
      <c r="E219" s="220" t="s">
        <v>9</v>
      </c>
      <c r="F219" s="220" t="s">
        <v>10</v>
      </c>
      <c r="G219" s="221" t="s">
        <v>12</v>
      </c>
      <c r="H219" s="227" t="s">
        <v>212</v>
      </c>
    </row>
    <row r="220" spans="1:8" ht="16.5" customHeight="1" thickTop="1">
      <c r="A220" s="108">
        <v>90</v>
      </c>
      <c r="B220" s="108"/>
      <c r="C220" s="108"/>
      <c r="D220" s="109" t="s">
        <v>180</v>
      </c>
      <c r="E220" s="110"/>
      <c r="F220" s="110"/>
      <c r="G220" s="110"/>
      <c r="H220" s="228"/>
    </row>
    <row r="221" spans="1:8" ht="15.75">
      <c r="A221" s="108"/>
      <c r="B221" s="108"/>
      <c r="C221" s="108"/>
      <c r="D221" s="109"/>
      <c r="E221" s="110"/>
      <c r="F221" s="110"/>
      <c r="G221" s="110"/>
      <c r="H221" s="228"/>
    </row>
    <row r="222" spans="1:8" ht="15">
      <c r="A222" s="130"/>
      <c r="B222" s="130"/>
      <c r="C222" s="130">
        <v>4121</v>
      </c>
      <c r="D222" s="130" t="s">
        <v>354</v>
      </c>
      <c r="E222" s="145">
        <v>300</v>
      </c>
      <c r="F222" s="145">
        <v>300</v>
      </c>
      <c r="G222" s="145">
        <v>150</v>
      </c>
      <c r="H222" s="222">
        <f aca="true" t="shared" si="6" ref="H222:H227">(G222/F222)*100</f>
        <v>50</v>
      </c>
    </row>
    <row r="223" spans="1:8" ht="15">
      <c r="A223" s="55"/>
      <c r="B223" s="55">
        <v>5311</v>
      </c>
      <c r="C223" s="55">
        <v>2111</v>
      </c>
      <c r="D223" s="55" t="s">
        <v>234</v>
      </c>
      <c r="E223" s="146">
        <v>700</v>
      </c>
      <c r="F223" s="146">
        <v>700</v>
      </c>
      <c r="G223" s="146">
        <v>412.3</v>
      </c>
      <c r="H223" s="222">
        <f t="shared" si="6"/>
        <v>58.9</v>
      </c>
    </row>
    <row r="224" spans="1:8" ht="15">
      <c r="A224" s="55"/>
      <c r="B224" s="55">
        <v>5311</v>
      </c>
      <c r="C224" s="55">
        <v>2212</v>
      </c>
      <c r="D224" s="55" t="s">
        <v>350</v>
      </c>
      <c r="E224" s="147">
        <v>1800</v>
      </c>
      <c r="F224" s="147">
        <v>1800</v>
      </c>
      <c r="G224" s="147">
        <v>746.7</v>
      </c>
      <c r="H224" s="222">
        <f t="shared" si="6"/>
        <v>41.483333333333334</v>
      </c>
    </row>
    <row r="225" spans="1:8" ht="15" hidden="1">
      <c r="A225" s="111"/>
      <c r="B225" s="111">
        <v>5311</v>
      </c>
      <c r="C225" s="111">
        <v>2310</v>
      </c>
      <c r="D225" s="111" t="s">
        <v>355</v>
      </c>
      <c r="E225" s="83"/>
      <c r="F225" s="83"/>
      <c r="G225" s="83"/>
      <c r="H225" s="222" t="e">
        <f t="shared" si="6"/>
        <v>#DIV/0!</v>
      </c>
    </row>
    <row r="226" spans="1:8" ht="15">
      <c r="A226" s="55"/>
      <c r="B226" s="55">
        <v>5311</v>
      </c>
      <c r="C226" s="55">
        <v>2324</v>
      </c>
      <c r="D226" s="55" t="s">
        <v>351</v>
      </c>
      <c r="E226" s="82">
        <v>0</v>
      </c>
      <c r="F226" s="82">
        <v>0</v>
      </c>
      <c r="G226" s="82">
        <v>35.5</v>
      </c>
      <c r="H226" s="222" t="e">
        <f t="shared" si="6"/>
        <v>#DIV/0!</v>
      </c>
    </row>
    <row r="227" spans="1:8" ht="15">
      <c r="A227" s="111"/>
      <c r="B227" s="111">
        <v>6409</v>
      </c>
      <c r="C227" s="111">
        <v>2328</v>
      </c>
      <c r="D227" s="111" t="s">
        <v>356</v>
      </c>
      <c r="E227" s="83">
        <v>0</v>
      </c>
      <c r="F227" s="83">
        <v>0</v>
      </c>
      <c r="G227" s="83">
        <v>0</v>
      </c>
      <c r="H227" s="222" t="e">
        <f t="shared" si="6"/>
        <v>#DIV/0!</v>
      </c>
    </row>
    <row r="228" spans="1:8" ht="15.75" thickBot="1">
      <c r="A228" s="138"/>
      <c r="B228" s="138"/>
      <c r="C228" s="138"/>
      <c r="D228" s="138"/>
      <c r="E228" s="139"/>
      <c r="F228" s="139"/>
      <c r="G228" s="139"/>
      <c r="H228" s="233"/>
    </row>
    <row r="229" spans="1:8" s="97" customFormat="1" ht="21.75" customHeight="1" thickBot="1" thickTop="1">
      <c r="A229" s="141"/>
      <c r="B229" s="141"/>
      <c r="C229" s="141"/>
      <c r="D229" s="142" t="s">
        <v>357</v>
      </c>
      <c r="E229" s="143">
        <f>SUM(E222:E228)</f>
        <v>2800</v>
      </c>
      <c r="F229" s="143">
        <f>SUM(F222:F228)</f>
        <v>2800</v>
      </c>
      <c r="G229" s="143">
        <f>SUM(G222:G228)</f>
        <v>1344.5</v>
      </c>
      <c r="H229" s="224">
        <f>(G229/F229)*100</f>
        <v>48.017857142857146</v>
      </c>
    </row>
    <row r="230" spans="1:8" ht="15" customHeight="1">
      <c r="A230" s="133"/>
      <c r="B230" s="133"/>
      <c r="C230" s="133"/>
      <c r="D230" s="104"/>
      <c r="E230" s="134"/>
      <c r="F230" s="134"/>
      <c r="G230" s="134"/>
      <c r="H230" s="231"/>
    </row>
    <row r="231" spans="1:8" ht="15" customHeight="1" hidden="1">
      <c r="A231" s="133"/>
      <c r="B231" s="133"/>
      <c r="C231" s="133"/>
      <c r="D231" s="104"/>
      <c r="E231" s="134"/>
      <c r="F231" s="134"/>
      <c r="G231" s="134"/>
      <c r="H231" s="231"/>
    </row>
    <row r="232" spans="1:8" ht="15" customHeight="1" hidden="1">
      <c r="A232" s="133"/>
      <c r="B232" s="133"/>
      <c r="C232" s="133"/>
      <c r="D232" s="104"/>
      <c r="E232" s="134"/>
      <c r="F232" s="134"/>
      <c r="G232" s="134"/>
      <c r="H232" s="231"/>
    </row>
    <row r="233" spans="1:8" ht="15" customHeight="1" hidden="1">
      <c r="A233" s="133"/>
      <c r="B233" s="133"/>
      <c r="C233" s="133"/>
      <c r="D233" s="104"/>
      <c r="E233" s="134"/>
      <c r="F233" s="134"/>
      <c r="G233" s="134"/>
      <c r="H233" s="231"/>
    </row>
    <row r="234" spans="1:8" ht="15" customHeight="1" hidden="1">
      <c r="A234" s="133"/>
      <c r="B234" s="133"/>
      <c r="C234" s="133"/>
      <c r="D234" s="104"/>
      <c r="E234" s="134"/>
      <c r="F234" s="134"/>
      <c r="G234" s="134"/>
      <c r="H234" s="231"/>
    </row>
    <row r="235" spans="1:8" ht="15" customHeight="1" hidden="1">
      <c r="A235" s="133"/>
      <c r="B235" s="133"/>
      <c r="C235" s="133"/>
      <c r="D235" s="104"/>
      <c r="E235" s="134"/>
      <c r="F235" s="134"/>
      <c r="G235" s="134"/>
      <c r="H235" s="231"/>
    </row>
    <row r="236" spans="1:8" ht="15" customHeight="1" hidden="1">
      <c r="A236" s="133"/>
      <c r="B236" s="133"/>
      <c r="C236" s="133"/>
      <c r="D236" s="104"/>
      <c r="E236" s="134"/>
      <c r="F236" s="134"/>
      <c r="G236" s="134"/>
      <c r="H236" s="231"/>
    </row>
    <row r="237" spans="1:8" ht="15" customHeight="1" hidden="1">
      <c r="A237" s="133"/>
      <c r="B237" s="133"/>
      <c r="C237" s="133"/>
      <c r="D237" s="104"/>
      <c r="E237" s="134"/>
      <c r="F237" s="134"/>
      <c r="G237" s="102"/>
      <c r="H237" s="230"/>
    </row>
    <row r="238" spans="1:8" ht="15" customHeight="1" thickBot="1">
      <c r="A238" s="133"/>
      <c r="B238" s="133"/>
      <c r="C238" s="133"/>
      <c r="D238" s="104"/>
      <c r="E238" s="134"/>
      <c r="F238" s="134"/>
      <c r="G238" s="134"/>
      <c r="H238" s="231"/>
    </row>
    <row r="239" spans="1:8" ht="15.75">
      <c r="A239" s="215" t="s">
        <v>3</v>
      </c>
      <c r="B239" s="215" t="s">
        <v>4</v>
      </c>
      <c r="C239" s="215" t="s">
        <v>210</v>
      </c>
      <c r="D239" s="216" t="s">
        <v>5</v>
      </c>
      <c r="E239" s="217" t="s">
        <v>6</v>
      </c>
      <c r="F239" s="217" t="s">
        <v>6</v>
      </c>
      <c r="G239" s="217" t="s">
        <v>7</v>
      </c>
      <c r="H239" s="226" t="s">
        <v>211</v>
      </c>
    </row>
    <row r="240" spans="1:8" ht="15.75" customHeight="1" thickBot="1">
      <c r="A240" s="218"/>
      <c r="B240" s="218"/>
      <c r="C240" s="218"/>
      <c r="D240" s="219"/>
      <c r="E240" s="220" t="s">
        <v>9</v>
      </c>
      <c r="F240" s="220" t="s">
        <v>10</v>
      </c>
      <c r="G240" s="221" t="s">
        <v>12</v>
      </c>
      <c r="H240" s="227" t="s">
        <v>212</v>
      </c>
    </row>
    <row r="241" spans="1:8" ht="15.75" customHeight="1" thickTop="1">
      <c r="A241" s="108">
        <v>100</v>
      </c>
      <c r="B241" s="108"/>
      <c r="C241" s="108"/>
      <c r="D241" s="109" t="s">
        <v>183</v>
      </c>
      <c r="E241" s="110"/>
      <c r="F241" s="110"/>
      <c r="G241" s="110"/>
      <c r="H241" s="228"/>
    </row>
    <row r="242" spans="1:8" ht="15">
      <c r="A242" s="55"/>
      <c r="B242" s="55"/>
      <c r="C242" s="55"/>
      <c r="D242" s="55"/>
      <c r="E242" s="82"/>
      <c r="F242" s="82"/>
      <c r="G242" s="82"/>
      <c r="H242" s="222"/>
    </row>
    <row r="243" spans="1:8" ht="15">
      <c r="A243" s="55"/>
      <c r="B243" s="55"/>
      <c r="C243" s="55">
        <v>1361</v>
      </c>
      <c r="D243" s="55" t="s">
        <v>215</v>
      </c>
      <c r="E243" s="82">
        <v>700</v>
      </c>
      <c r="F243" s="82">
        <v>700</v>
      </c>
      <c r="G243" s="82">
        <v>291.9</v>
      </c>
      <c r="H243" s="222">
        <f>(G243/F243)*100</f>
        <v>41.699999999999996</v>
      </c>
    </row>
    <row r="244" spans="1:8" ht="15.75" hidden="1">
      <c r="A244" s="65"/>
      <c r="B244" s="65"/>
      <c r="C244" s="55">
        <v>4216</v>
      </c>
      <c r="D244" s="55" t="s">
        <v>358</v>
      </c>
      <c r="E244" s="82">
        <v>0</v>
      </c>
      <c r="F244" s="82">
        <v>0</v>
      </c>
      <c r="G244" s="82"/>
      <c r="H244" s="222" t="e">
        <f>(G244/F244)*100</f>
        <v>#DIV/0!</v>
      </c>
    </row>
    <row r="245" spans="1:8" ht="15">
      <c r="A245" s="55"/>
      <c r="B245" s="55">
        <v>2169</v>
      </c>
      <c r="C245" s="55">
        <v>2212</v>
      </c>
      <c r="D245" s="55" t="s">
        <v>350</v>
      </c>
      <c r="E245" s="82">
        <v>500</v>
      </c>
      <c r="F245" s="82">
        <v>500</v>
      </c>
      <c r="G245" s="82">
        <v>111</v>
      </c>
      <c r="H245" s="222">
        <f>(G245/F245)*100</f>
        <v>22.2</v>
      </c>
    </row>
    <row r="246" spans="1:8" ht="15">
      <c r="A246" s="111"/>
      <c r="B246" s="111">
        <v>3635</v>
      </c>
      <c r="C246" s="111">
        <v>3122</v>
      </c>
      <c r="D246" s="55" t="s">
        <v>359</v>
      </c>
      <c r="E246" s="82">
        <v>0</v>
      </c>
      <c r="F246" s="82">
        <v>0</v>
      </c>
      <c r="G246" s="82">
        <v>146.2</v>
      </c>
      <c r="H246" s="222" t="e">
        <f>(G246/F246)*100</f>
        <v>#DIV/0!</v>
      </c>
    </row>
    <row r="247" spans="1:8" ht="15">
      <c r="A247" s="111"/>
      <c r="B247" s="111">
        <v>6171</v>
      </c>
      <c r="C247" s="111">
        <v>2324</v>
      </c>
      <c r="D247" s="55" t="s">
        <v>351</v>
      </c>
      <c r="E247" s="131">
        <v>0</v>
      </c>
      <c r="F247" s="131">
        <v>0</v>
      </c>
      <c r="G247" s="131">
        <v>2</v>
      </c>
      <c r="H247" s="222" t="e">
        <f>(G247/F247)*100</f>
        <v>#DIV/0!</v>
      </c>
    </row>
    <row r="248" spans="1:8" ht="15" customHeight="1" thickBot="1">
      <c r="A248" s="138"/>
      <c r="B248" s="138"/>
      <c r="C248" s="138"/>
      <c r="D248" s="138"/>
      <c r="E248" s="139"/>
      <c r="F248" s="139"/>
      <c r="G248" s="139"/>
      <c r="H248" s="233"/>
    </row>
    <row r="249" spans="1:8" s="97" customFormat="1" ht="21.75" customHeight="1" thickBot="1" thickTop="1">
      <c r="A249" s="141"/>
      <c r="B249" s="141"/>
      <c r="C249" s="141"/>
      <c r="D249" s="142" t="s">
        <v>360</v>
      </c>
      <c r="E249" s="143">
        <f>SUM(E241:E247)</f>
        <v>1200</v>
      </c>
      <c r="F249" s="143">
        <f>SUM(F241:F247)</f>
        <v>1200</v>
      </c>
      <c r="G249" s="143">
        <f>SUM(G241:G247)</f>
        <v>551.0999999999999</v>
      </c>
      <c r="H249" s="224">
        <f>(G249/F249)*100</f>
        <v>45.925</v>
      </c>
    </row>
    <row r="250" spans="1:8" ht="15" customHeight="1">
      <c r="A250" s="133"/>
      <c r="B250" s="133"/>
      <c r="C250" s="133"/>
      <c r="D250" s="104"/>
      <c r="E250" s="134"/>
      <c r="F250" s="134"/>
      <c r="G250" s="134"/>
      <c r="H250" s="231"/>
    </row>
    <row r="251" spans="1:8" ht="15" customHeight="1">
      <c r="A251" s="133"/>
      <c r="B251" s="133"/>
      <c r="C251" s="133"/>
      <c r="D251" s="104"/>
      <c r="E251" s="134"/>
      <c r="F251" s="134"/>
      <c r="G251" s="134"/>
      <c r="H251" s="231"/>
    </row>
    <row r="252" spans="1:8" ht="15" customHeight="1" hidden="1">
      <c r="A252" s="133"/>
      <c r="B252" s="133"/>
      <c r="C252" s="133"/>
      <c r="D252" s="104"/>
      <c r="E252" s="134"/>
      <c r="F252" s="134"/>
      <c r="G252" s="134"/>
      <c r="H252" s="231"/>
    </row>
    <row r="253" spans="1:8" ht="15" customHeight="1" thickBot="1">
      <c r="A253" s="133"/>
      <c r="B253" s="133"/>
      <c r="C253" s="133"/>
      <c r="D253" s="104"/>
      <c r="E253" s="134"/>
      <c r="F253" s="134"/>
      <c r="G253" s="134"/>
      <c r="H253" s="231"/>
    </row>
    <row r="254" spans="1:8" ht="15.75">
      <c r="A254" s="215" t="s">
        <v>3</v>
      </c>
      <c r="B254" s="215" t="s">
        <v>4</v>
      </c>
      <c r="C254" s="215" t="s">
        <v>210</v>
      </c>
      <c r="D254" s="216" t="s">
        <v>5</v>
      </c>
      <c r="E254" s="217" t="s">
        <v>6</v>
      </c>
      <c r="F254" s="217" t="s">
        <v>6</v>
      </c>
      <c r="G254" s="217" t="s">
        <v>7</v>
      </c>
      <c r="H254" s="226" t="s">
        <v>211</v>
      </c>
    </row>
    <row r="255" spans="1:8" ht="15.75" customHeight="1" thickBot="1">
      <c r="A255" s="218"/>
      <c r="B255" s="218"/>
      <c r="C255" s="218"/>
      <c r="D255" s="219"/>
      <c r="E255" s="220" t="s">
        <v>9</v>
      </c>
      <c r="F255" s="220" t="s">
        <v>10</v>
      </c>
      <c r="G255" s="221" t="s">
        <v>12</v>
      </c>
      <c r="H255" s="227" t="s">
        <v>212</v>
      </c>
    </row>
    <row r="256" spans="1:8" ht="15.75" customHeight="1" thickTop="1">
      <c r="A256" s="148">
        <v>110</v>
      </c>
      <c r="B256" s="65"/>
      <c r="C256" s="65"/>
      <c r="D256" s="65" t="s">
        <v>186</v>
      </c>
      <c r="E256" s="110"/>
      <c r="F256" s="110"/>
      <c r="G256" s="110"/>
      <c r="H256" s="228"/>
    </row>
    <row r="257" spans="1:8" ht="15.75">
      <c r="A257" s="148"/>
      <c r="B257" s="65"/>
      <c r="C257" s="65"/>
      <c r="D257" s="65"/>
      <c r="E257" s="110"/>
      <c r="F257" s="110"/>
      <c r="G257" s="110"/>
      <c r="H257" s="228"/>
    </row>
    <row r="258" spans="1:8" ht="15">
      <c r="A258" s="55"/>
      <c r="B258" s="55"/>
      <c r="C258" s="55">
        <v>1111</v>
      </c>
      <c r="D258" s="55" t="s">
        <v>361</v>
      </c>
      <c r="E258" s="38">
        <v>45000</v>
      </c>
      <c r="F258" s="38">
        <v>45000</v>
      </c>
      <c r="G258" s="38">
        <v>21513.8</v>
      </c>
      <c r="H258" s="222">
        <f aca="true" t="shared" si="7" ref="H258:H283">(G258/F258)*100</f>
        <v>47.80844444444444</v>
      </c>
    </row>
    <row r="259" spans="1:8" ht="15">
      <c r="A259" s="55"/>
      <c r="B259" s="55"/>
      <c r="C259" s="55">
        <v>1112</v>
      </c>
      <c r="D259" s="55" t="s">
        <v>362</v>
      </c>
      <c r="E259" s="136">
        <v>15500</v>
      </c>
      <c r="F259" s="136">
        <v>15500</v>
      </c>
      <c r="G259" s="136">
        <v>3730.2</v>
      </c>
      <c r="H259" s="222">
        <f t="shared" si="7"/>
        <v>24.065806451612904</v>
      </c>
    </row>
    <row r="260" spans="1:8" ht="15">
      <c r="A260" s="55"/>
      <c r="B260" s="55"/>
      <c r="C260" s="55">
        <v>1113</v>
      </c>
      <c r="D260" s="55" t="s">
        <v>363</v>
      </c>
      <c r="E260" s="136">
        <v>3300</v>
      </c>
      <c r="F260" s="136">
        <v>3300</v>
      </c>
      <c r="G260" s="136">
        <v>1689.8</v>
      </c>
      <c r="H260" s="222">
        <f t="shared" si="7"/>
        <v>51.206060606060596</v>
      </c>
    </row>
    <row r="261" spans="1:8" ht="15">
      <c r="A261" s="55"/>
      <c r="B261" s="55"/>
      <c r="C261" s="55">
        <v>1121</v>
      </c>
      <c r="D261" s="55" t="s">
        <v>364</v>
      </c>
      <c r="E261" s="136">
        <v>54000</v>
      </c>
      <c r="F261" s="136">
        <v>54000</v>
      </c>
      <c r="G261" s="38">
        <v>24307.8</v>
      </c>
      <c r="H261" s="222">
        <f t="shared" si="7"/>
        <v>45.01444444444444</v>
      </c>
    </row>
    <row r="262" spans="1:8" ht="15">
      <c r="A262" s="55"/>
      <c r="B262" s="55"/>
      <c r="C262" s="55">
        <v>1122</v>
      </c>
      <c r="D262" s="55" t="s">
        <v>365</v>
      </c>
      <c r="E262" s="38">
        <v>75300</v>
      </c>
      <c r="F262" s="38">
        <v>75300</v>
      </c>
      <c r="G262" s="38">
        <v>72131</v>
      </c>
      <c r="H262" s="222">
        <f t="shared" si="7"/>
        <v>95.79150066401063</v>
      </c>
    </row>
    <row r="263" spans="1:8" ht="15">
      <c r="A263" s="55"/>
      <c r="B263" s="55"/>
      <c r="C263" s="55">
        <v>1211</v>
      </c>
      <c r="D263" s="55" t="s">
        <v>366</v>
      </c>
      <c r="E263" s="38">
        <v>92000</v>
      </c>
      <c r="F263" s="38">
        <v>92000</v>
      </c>
      <c r="G263" s="38">
        <v>42626.6</v>
      </c>
      <c r="H263" s="222">
        <f t="shared" si="7"/>
        <v>46.333260869565216</v>
      </c>
    </row>
    <row r="264" spans="1:8" ht="15" hidden="1">
      <c r="A264" s="55"/>
      <c r="B264" s="55"/>
      <c r="C264" s="55">
        <v>1335</v>
      </c>
      <c r="D264" s="55" t="s">
        <v>367</v>
      </c>
      <c r="E264" s="38"/>
      <c r="F264" s="38"/>
      <c r="G264" s="38"/>
      <c r="H264" s="222" t="e">
        <f t="shared" si="7"/>
        <v>#DIV/0!</v>
      </c>
    </row>
    <row r="265" spans="1:8" ht="15" hidden="1">
      <c r="A265" s="55"/>
      <c r="B265" s="55"/>
      <c r="C265" s="55">
        <v>1219</v>
      </c>
      <c r="D265" s="55" t="s">
        <v>368</v>
      </c>
      <c r="E265" s="38"/>
      <c r="F265" s="38"/>
      <c r="G265" s="38"/>
      <c r="H265" s="222" t="e">
        <f t="shared" si="7"/>
        <v>#DIV/0!</v>
      </c>
    </row>
    <row r="266" spans="1:8" ht="15">
      <c r="A266" s="55"/>
      <c r="B266" s="55"/>
      <c r="C266" s="55">
        <v>1337</v>
      </c>
      <c r="D266" s="55" t="s">
        <v>369</v>
      </c>
      <c r="E266" s="136">
        <v>10300</v>
      </c>
      <c r="F266" s="136">
        <v>10300</v>
      </c>
      <c r="G266" s="136">
        <v>9402.6</v>
      </c>
      <c r="H266" s="222">
        <f t="shared" si="7"/>
        <v>91.28737864077671</v>
      </c>
    </row>
    <row r="267" spans="1:8" ht="15">
      <c r="A267" s="55"/>
      <c r="B267" s="55"/>
      <c r="C267" s="55">
        <v>1341</v>
      </c>
      <c r="D267" s="55" t="s">
        <v>370</v>
      </c>
      <c r="E267" s="19">
        <v>1000</v>
      </c>
      <c r="F267" s="19">
        <v>1000</v>
      </c>
      <c r="G267" s="19">
        <v>838.7</v>
      </c>
      <c r="H267" s="222">
        <f t="shared" si="7"/>
        <v>83.87</v>
      </c>
    </row>
    <row r="268" spans="1:8" ht="15">
      <c r="A268" s="55"/>
      <c r="B268" s="55"/>
      <c r="C268" s="55">
        <v>1347</v>
      </c>
      <c r="D268" s="55" t="s">
        <v>371</v>
      </c>
      <c r="E268" s="19">
        <v>3600</v>
      </c>
      <c r="F268" s="19">
        <v>3600</v>
      </c>
      <c r="G268" s="19">
        <v>1432.6</v>
      </c>
      <c r="H268" s="222">
        <f t="shared" si="7"/>
        <v>39.794444444444444</v>
      </c>
    </row>
    <row r="269" spans="1:8" ht="15" hidden="1">
      <c r="A269" s="55"/>
      <c r="B269" s="55"/>
      <c r="C269" s="55">
        <v>1349</v>
      </c>
      <c r="D269" s="55" t="s">
        <v>372</v>
      </c>
      <c r="E269" s="38"/>
      <c r="F269" s="38"/>
      <c r="G269" s="38"/>
      <c r="H269" s="222" t="e">
        <f t="shared" si="7"/>
        <v>#DIV/0!</v>
      </c>
    </row>
    <row r="270" spans="1:8" ht="15">
      <c r="A270" s="55"/>
      <c r="B270" s="55"/>
      <c r="C270" s="55">
        <v>1351</v>
      </c>
      <c r="D270" s="55" t="s">
        <v>373</v>
      </c>
      <c r="E270" s="38">
        <v>1850</v>
      </c>
      <c r="F270" s="38">
        <v>1850</v>
      </c>
      <c r="G270" s="38">
        <v>1671.8</v>
      </c>
      <c r="H270" s="222">
        <f t="shared" si="7"/>
        <v>90.36756756756756</v>
      </c>
    </row>
    <row r="271" spans="1:8" ht="15">
      <c r="A271" s="55"/>
      <c r="B271" s="55"/>
      <c r="C271" s="55">
        <v>1361</v>
      </c>
      <c r="D271" s="55" t="s">
        <v>374</v>
      </c>
      <c r="E271" s="19">
        <v>2450</v>
      </c>
      <c r="F271" s="19">
        <v>2450</v>
      </c>
      <c r="G271" s="19">
        <v>976</v>
      </c>
      <c r="H271" s="222">
        <f t="shared" si="7"/>
        <v>39.83673469387755</v>
      </c>
    </row>
    <row r="272" spans="1:8" ht="15">
      <c r="A272" s="55"/>
      <c r="B272" s="55"/>
      <c r="C272" s="55">
        <v>1511</v>
      </c>
      <c r="D272" s="55" t="s">
        <v>375</v>
      </c>
      <c r="E272" s="82">
        <v>25200</v>
      </c>
      <c r="F272" s="82">
        <v>25200</v>
      </c>
      <c r="G272" s="82">
        <v>13328.8</v>
      </c>
      <c r="H272" s="222">
        <f t="shared" si="7"/>
        <v>52.89206349206349</v>
      </c>
    </row>
    <row r="273" spans="1:8" ht="15" customHeight="1" hidden="1">
      <c r="A273" s="55"/>
      <c r="B273" s="55"/>
      <c r="C273" s="55">
        <v>2460</v>
      </c>
      <c r="D273" s="55" t="s">
        <v>376</v>
      </c>
      <c r="E273" s="82">
        <v>0</v>
      </c>
      <c r="F273" s="82">
        <v>0</v>
      </c>
      <c r="G273" s="82"/>
      <c r="H273" s="222" t="e">
        <f t="shared" si="7"/>
        <v>#DIV/0!</v>
      </c>
    </row>
    <row r="274" spans="1:8" ht="15">
      <c r="A274" s="55"/>
      <c r="B274" s="55"/>
      <c r="C274" s="55">
        <v>4112</v>
      </c>
      <c r="D274" s="55" t="s">
        <v>377</v>
      </c>
      <c r="E274" s="82">
        <v>46000</v>
      </c>
      <c r="F274" s="82">
        <v>45991.9</v>
      </c>
      <c r="G274" s="82">
        <v>22996</v>
      </c>
      <c r="H274" s="222">
        <f t="shared" si="7"/>
        <v>50.00010871479543</v>
      </c>
    </row>
    <row r="275" spans="1:8" ht="15" hidden="1">
      <c r="A275" s="55"/>
      <c r="B275" s="55">
        <v>3611</v>
      </c>
      <c r="C275" s="55">
        <v>2141</v>
      </c>
      <c r="D275" s="55" t="s">
        <v>378</v>
      </c>
      <c r="E275" s="82">
        <v>0</v>
      </c>
      <c r="F275" s="82">
        <v>0</v>
      </c>
      <c r="G275" s="82"/>
      <c r="H275" s="222" t="e">
        <f t="shared" si="7"/>
        <v>#DIV/0!</v>
      </c>
    </row>
    <row r="276" spans="1:8" ht="15" hidden="1">
      <c r="A276" s="55"/>
      <c r="B276" s="55">
        <v>3611</v>
      </c>
      <c r="C276" s="55">
        <v>2210</v>
      </c>
      <c r="D276" s="55" t="s">
        <v>379</v>
      </c>
      <c r="E276" s="82"/>
      <c r="F276" s="82"/>
      <c r="G276" s="82"/>
      <c r="H276" s="222" t="e">
        <f t="shared" si="7"/>
        <v>#DIV/0!</v>
      </c>
    </row>
    <row r="277" spans="1:8" ht="15" hidden="1">
      <c r="A277" s="55"/>
      <c r="B277" s="55">
        <v>6171</v>
      </c>
      <c r="C277" s="55">
        <v>2210</v>
      </c>
      <c r="D277" s="55" t="s">
        <v>380</v>
      </c>
      <c r="E277" s="82"/>
      <c r="F277" s="82"/>
      <c r="G277" s="82"/>
      <c r="H277" s="222" t="e">
        <f t="shared" si="7"/>
        <v>#DIV/0!</v>
      </c>
    </row>
    <row r="278" spans="1:8" ht="15" hidden="1">
      <c r="A278" s="55"/>
      <c r="B278" s="55">
        <v>6171</v>
      </c>
      <c r="C278" s="55">
        <v>2328</v>
      </c>
      <c r="D278" s="55" t="s">
        <v>381</v>
      </c>
      <c r="E278" s="82">
        <v>0</v>
      </c>
      <c r="F278" s="82">
        <v>0</v>
      </c>
      <c r="G278" s="82"/>
      <c r="H278" s="222" t="e">
        <f t="shared" si="7"/>
        <v>#DIV/0!</v>
      </c>
    </row>
    <row r="279" spans="1:8" ht="15">
      <c r="A279" s="55"/>
      <c r="B279" s="55">
        <v>6310</v>
      </c>
      <c r="C279" s="55">
        <v>2141</v>
      </c>
      <c r="D279" s="55" t="s">
        <v>382</v>
      </c>
      <c r="E279" s="82">
        <v>500</v>
      </c>
      <c r="F279" s="82">
        <v>765</v>
      </c>
      <c r="G279" s="82">
        <v>668.5</v>
      </c>
      <c r="H279" s="222">
        <f t="shared" si="7"/>
        <v>87.38562091503267</v>
      </c>
    </row>
    <row r="280" spans="1:8" ht="15" hidden="1">
      <c r="A280" s="55"/>
      <c r="B280" s="55">
        <v>6310</v>
      </c>
      <c r="C280" s="55">
        <v>2142</v>
      </c>
      <c r="D280" s="55" t="s">
        <v>383</v>
      </c>
      <c r="E280" s="87"/>
      <c r="F280" s="87"/>
      <c r="G280" s="82"/>
      <c r="H280" s="222" t="e">
        <f t="shared" si="7"/>
        <v>#DIV/0!</v>
      </c>
    </row>
    <row r="281" spans="1:8" ht="15" hidden="1">
      <c r="A281" s="55"/>
      <c r="B281" s="55">
        <v>3611</v>
      </c>
      <c r="C281" s="55">
        <v>2210</v>
      </c>
      <c r="D281" s="55" t="s">
        <v>384</v>
      </c>
      <c r="E281" s="87"/>
      <c r="F281" s="87"/>
      <c r="G281" s="82"/>
      <c r="H281" s="222" t="e">
        <f t="shared" si="7"/>
        <v>#DIV/0!</v>
      </c>
    </row>
    <row r="282" spans="1:8" ht="15" hidden="1">
      <c r="A282" s="55"/>
      <c r="B282" s="55">
        <v>6399</v>
      </c>
      <c r="C282" s="55">
        <v>2329</v>
      </c>
      <c r="D282" s="55" t="s">
        <v>385</v>
      </c>
      <c r="E282" s="87"/>
      <c r="F282" s="87"/>
      <c r="G282" s="82"/>
      <c r="H282" s="222" t="e">
        <f t="shared" si="7"/>
        <v>#DIV/0!</v>
      </c>
    </row>
    <row r="283" spans="1:8" ht="15">
      <c r="A283" s="55"/>
      <c r="B283" s="55">
        <v>6409</v>
      </c>
      <c r="C283" s="55">
        <v>2328</v>
      </c>
      <c r="D283" s="55" t="s">
        <v>386</v>
      </c>
      <c r="E283" s="87">
        <v>0</v>
      </c>
      <c r="F283" s="87">
        <v>0</v>
      </c>
      <c r="G283" s="82">
        <v>293.7</v>
      </c>
      <c r="H283" s="222" t="e">
        <f t="shared" si="7"/>
        <v>#DIV/0!</v>
      </c>
    </row>
    <row r="284" spans="1:8" ht="15.75" customHeight="1" thickBot="1">
      <c r="A284" s="138"/>
      <c r="B284" s="138"/>
      <c r="C284" s="138"/>
      <c r="D284" s="138"/>
      <c r="E284" s="149"/>
      <c r="F284" s="149"/>
      <c r="G284" s="149"/>
      <c r="H284" s="234"/>
    </row>
    <row r="285" spans="1:8" s="97" customFormat="1" ht="21.75" customHeight="1" thickBot="1" thickTop="1">
      <c r="A285" s="141"/>
      <c r="B285" s="141"/>
      <c r="C285" s="141"/>
      <c r="D285" s="142" t="s">
        <v>387</v>
      </c>
      <c r="E285" s="143">
        <f>SUM(E258:E284)</f>
        <v>376000</v>
      </c>
      <c r="F285" s="143">
        <f>SUM(F258:F284)</f>
        <v>376256.9</v>
      </c>
      <c r="G285" s="143">
        <f>SUM(G258:G284)</f>
        <v>217607.90000000002</v>
      </c>
      <c r="H285" s="224">
        <f>(G285/F285)*100</f>
        <v>57.834926083747575</v>
      </c>
    </row>
    <row r="286" spans="1:8" ht="15" customHeight="1">
      <c r="A286" s="133"/>
      <c r="B286" s="133"/>
      <c r="C286" s="133"/>
      <c r="D286" s="104"/>
      <c r="E286" s="134"/>
      <c r="F286" s="134"/>
      <c r="G286" s="134"/>
      <c r="H286" s="231"/>
    </row>
    <row r="287" spans="1:8" ht="15">
      <c r="A287" s="97"/>
      <c r="B287" s="133"/>
      <c r="C287" s="133"/>
      <c r="D287" s="133"/>
      <c r="E287" s="150"/>
      <c r="F287" s="150"/>
      <c r="G287" s="150"/>
      <c r="H287" s="235"/>
    </row>
    <row r="288" spans="1:8" ht="15" hidden="1">
      <c r="A288" s="97"/>
      <c r="B288" s="133"/>
      <c r="C288" s="133"/>
      <c r="D288" s="133"/>
      <c r="E288" s="150"/>
      <c r="F288" s="150"/>
      <c r="G288" s="150"/>
      <c r="H288" s="235"/>
    </row>
    <row r="289" spans="1:8" ht="15" customHeight="1" thickBot="1">
      <c r="A289" s="97"/>
      <c r="B289" s="133"/>
      <c r="C289" s="133"/>
      <c r="D289" s="133"/>
      <c r="E289" s="150"/>
      <c r="F289" s="150"/>
      <c r="G289" s="150"/>
      <c r="H289" s="235"/>
    </row>
    <row r="290" spans="1:8" ht="15.75">
      <c r="A290" s="215" t="s">
        <v>3</v>
      </c>
      <c r="B290" s="215" t="s">
        <v>4</v>
      </c>
      <c r="C290" s="215" t="s">
        <v>210</v>
      </c>
      <c r="D290" s="216" t="s">
        <v>5</v>
      </c>
      <c r="E290" s="217" t="s">
        <v>6</v>
      </c>
      <c r="F290" s="217" t="s">
        <v>6</v>
      </c>
      <c r="G290" s="217" t="s">
        <v>7</v>
      </c>
      <c r="H290" s="226" t="s">
        <v>211</v>
      </c>
    </row>
    <row r="291" spans="1:8" ht="15.75" customHeight="1" thickBot="1">
      <c r="A291" s="218"/>
      <c r="B291" s="218"/>
      <c r="C291" s="218"/>
      <c r="D291" s="219"/>
      <c r="E291" s="220" t="s">
        <v>9</v>
      </c>
      <c r="F291" s="220" t="s">
        <v>10</v>
      </c>
      <c r="G291" s="221" t="s">
        <v>12</v>
      </c>
      <c r="H291" s="227" t="s">
        <v>212</v>
      </c>
    </row>
    <row r="292" spans="1:8" ht="16.5" customHeight="1" thickTop="1">
      <c r="A292" s="108">
        <v>120</v>
      </c>
      <c r="B292" s="108"/>
      <c r="C292" s="108"/>
      <c r="D292" s="15" t="s">
        <v>194</v>
      </c>
      <c r="E292" s="110"/>
      <c r="F292" s="110"/>
      <c r="G292" s="110"/>
      <c r="H292" s="228"/>
    </row>
    <row r="293" spans="1:8" ht="15.75">
      <c r="A293" s="65"/>
      <c r="B293" s="65"/>
      <c r="C293" s="65"/>
      <c r="D293" s="65"/>
      <c r="E293" s="82"/>
      <c r="F293" s="82"/>
      <c r="G293" s="82"/>
      <c r="H293" s="222"/>
    </row>
    <row r="294" spans="1:8" ht="15" hidden="1">
      <c r="A294" s="21"/>
      <c r="B294" s="21">
        <v>3612</v>
      </c>
      <c r="C294" s="21">
        <v>2122</v>
      </c>
      <c r="D294" s="21" t="s">
        <v>388</v>
      </c>
      <c r="E294" s="82">
        <v>0</v>
      </c>
      <c r="F294" s="82"/>
      <c r="G294" s="82"/>
      <c r="H294" s="222"/>
    </row>
    <row r="295" spans="1:8" ht="15">
      <c r="A295" s="55"/>
      <c r="B295" s="55">
        <v>3612</v>
      </c>
      <c r="C295" s="55">
        <v>2132</v>
      </c>
      <c r="D295" s="55" t="s">
        <v>389</v>
      </c>
      <c r="E295" s="151">
        <f>1644+9800</f>
        <v>11444</v>
      </c>
      <c r="F295" s="151">
        <f>1644+9800</f>
        <v>11444</v>
      </c>
      <c r="G295" s="151">
        <v>5235</v>
      </c>
      <c r="H295" s="222">
        <f aca="true" t="shared" si="8" ref="H295:H313">(G295/F295)*100</f>
        <v>45.74449493184201</v>
      </c>
    </row>
    <row r="296" spans="1:8" ht="15">
      <c r="A296" s="55"/>
      <c r="B296" s="55">
        <v>3612</v>
      </c>
      <c r="C296" s="55">
        <v>2310</v>
      </c>
      <c r="D296" s="55" t="s">
        <v>390</v>
      </c>
      <c r="E296" s="151">
        <v>0</v>
      </c>
      <c r="F296" s="151">
        <v>0</v>
      </c>
      <c r="G296" s="151">
        <v>29.8</v>
      </c>
      <c r="H296" s="222" t="e">
        <f t="shared" si="8"/>
        <v>#DIV/0!</v>
      </c>
    </row>
    <row r="297" spans="1:8" ht="15" hidden="1">
      <c r="A297" s="55"/>
      <c r="B297" s="55">
        <v>3612</v>
      </c>
      <c r="C297" s="55">
        <v>2324</v>
      </c>
      <c r="D297" s="55" t="s">
        <v>391</v>
      </c>
      <c r="E297" s="82"/>
      <c r="F297" s="82"/>
      <c r="G297" s="82"/>
      <c r="H297" s="222" t="e">
        <f t="shared" si="8"/>
        <v>#DIV/0!</v>
      </c>
    </row>
    <row r="298" spans="1:8" ht="15" hidden="1">
      <c r="A298" s="55"/>
      <c r="B298" s="55">
        <v>3612</v>
      </c>
      <c r="C298" s="55">
        <v>2329</v>
      </c>
      <c r="D298" s="55" t="s">
        <v>392</v>
      </c>
      <c r="E298" s="82"/>
      <c r="F298" s="82"/>
      <c r="G298" s="82"/>
      <c r="H298" s="222" t="e">
        <f t="shared" si="8"/>
        <v>#DIV/0!</v>
      </c>
    </row>
    <row r="299" spans="1:8" ht="15">
      <c r="A299" s="55"/>
      <c r="B299" s="55">
        <v>3612</v>
      </c>
      <c r="C299" s="55">
        <v>3112</v>
      </c>
      <c r="D299" s="55" t="s">
        <v>393</v>
      </c>
      <c r="E299" s="82">
        <v>6000</v>
      </c>
      <c r="F299" s="82">
        <v>6000</v>
      </c>
      <c r="G299" s="82">
        <v>7388.6</v>
      </c>
      <c r="H299" s="222">
        <f t="shared" si="8"/>
        <v>123.14333333333335</v>
      </c>
    </row>
    <row r="300" spans="1:8" ht="15">
      <c r="A300" s="55"/>
      <c r="B300" s="55">
        <v>3613</v>
      </c>
      <c r="C300" s="55">
        <v>2132</v>
      </c>
      <c r="D300" s="55" t="s">
        <v>394</v>
      </c>
      <c r="E300" s="151">
        <v>4980</v>
      </c>
      <c r="F300" s="151">
        <v>4980</v>
      </c>
      <c r="G300" s="151">
        <v>3027.1</v>
      </c>
      <c r="H300" s="222">
        <f t="shared" si="8"/>
        <v>60.785140562249</v>
      </c>
    </row>
    <row r="301" spans="1:8" ht="15">
      <c r="A301" s="111"/>
      <c r="B301" s="55">
        <v>3613</v>
      </c>
      <c r="C301" s="55">
        <v>3112</v>
      </c>
      <c r="D301" s="55" t="s">
        <v>395</v>
      </c>
      <c r="E301" s="82">
        <v>10000</v>
      </c>
      <c r="F301" s="82">
        <v>10000</v>
      </c>
      <c r="G301" s="82">
        <v>0</v>
      </c>
      <c r="H301" s="222">
        <f t="shared" si="8"/>
        <v>0</v>
      </c>
    </row>
    <row r="302" spans="1:8" ht="15">
      <c r="A302" s="111"/>
      <c r="B302" s="55">
        <v>3634</v>
      </c>
      <c r="C302" s="55">
        <v>2132</v>
      </c>
      <c r="D302" s="55" t="s">
        <v>396</v>
      </c>
      <c r="E302" s="82">
        <f>4900+931</f>
        <v>5831</v>
      </c>
      <c r="F302" s="82">
        <f>4900+931</f>
        <v>5831</v>
      </c>
      <c r="G302" s="82">
        <v>5652</v>
      </c>
      <c r="H302" s="222">
        <f t="shared" si="8"/>
        <v>96.93020065168925</v>
      </c>
    </row>
    <row r="303" spans="1:8" ht="15">
      <c r="A303" s="111"/>
      <c r="B303" s="55">
        <v>3636</v>
      </c>
      <c r="C303" s="55">
        <v>2131</v>
      </c>
      <c r="D303" s="55" t="s">
        <v>397</v>
      </c>
      <c r="E303" s="82">
        <v>0</v>
      </c>
      <c r="F303" s="82">
        <v>0</v>
      </c>
      <c r="G303" s="82">
        <v>0</v>
      </c>
      <c r="H303" s="222" t="e">
        <f t="shared" si="8"/>
        <v>#DIV/0!</v>
      </c>
    </row>
    <row r="304" spans="1:8" ht="15">
      <c r="A304" s="111"/>
      <c r="B304" s="55">
        <v>3639</v>
      </c>
      <c r="C304" s="55">
        <v>2119</v>
      </c>
      <c r="D304" s="55" t="s">
        <v>398</v>
      </c>
      <c r="E304" s="82">
        <v>10</v>
      </c>
      <c r="F304" s="82">
        <v>10</v>
      </c>
      <c r="G304" s="82">
        <v>97.8</v>
      </c>
      <c r="H304" s="222">
        <f t="shared" si="8"/>
        <v>977.9999999999999</v>
      </c>
    </row>
    <row r="305" spans="1:8" ht="15">
      <c r="A305" s="55"/>
      <c r="B305" s="55">
        <v>3639</v>
      </c>
      <c r="C305" s="55">
        <v>2131</v>
      </c>
      <c r="D305" s="55" t="s">
        <v>399</v>
      </c>
      <c r="E305" s="82">
        <v>1350</v>
      </c>
      <c r="F305" s="82">
        <v>1350</v>
      </c>
      <c r="G305" s="82">
        <v>860.6</v>
      </c>
      <c r="H305" s="222">
        <f t="shared" si="8"/>
        <v>63.748148148148154</v>
      </c>
    </row>
    <row r="306" spans="1:8" ht="15" hidden="1">
      <c r="A306" s="55"/>
      <c r="B306" s="55">
        <v>3639</v>
      </c>
      <c r="C306" s="55">
        <v>2132</v>
      </c>
      <c r="D306" s="55" t="s">
        <v>298</v>
      </c>
      <c r="E306" s="82"/>
      <c r="F306" s="82"/>
      <c r="G306" s="82"/>
      <c r="H306" s="222" t="e">
        <f t="shared" si="8"/>
        <v>#DIV/0!</v>
      </c>
    </row>
    <row r="307" spans="1:8" ht="15">
      <c r="A307" s="55"/>
      <c r="B307" s="55">
        <v>3639</v>
      </c>
      <c r="C307" s="55">
        <v>2324</v>
      </c>
      <c r="D307" s="55" t="s">
        <v>400</v>
      </c>
      <c r="E307" s="82">
        <v>600</v>
      </c>
      <c r="F307" s="82">
        <v>600</v>
      </c>
      <c r="G307" s="82">
        <v>823.6</v>
      </c>
      <c r="H307" s="222">
        <f t="shared" si="8"/>
        <v>137.26666666666668</v>
      </c>
    </row>
    <row r="308" spans="1:8" ht="15">
      <c r="A308" s="55"/>
      <c r="B308" s="55">
        <v>3639</v>
      </c>
      <c r="C308" s="55">
        <v>3111</v>
      </c>
      <c r="D308" s="55" t="s">
        <v>401</v>
      </c>
      <c r="E308" s="82">
        <v>12585</v>
      </c>
      <c r="F308" s="82">
        <v>12585</v>
      </c>
      <c r="G308" s="82">
        <v>16097</v>
      </c>
      <c r="H308" s="222">
        <f t="shared" si="8"/>
        <v>127.9062375844259</v>
      </c>
    </row>
    <row r="309" spans="1:8" ht="15" hidden="1">
      <c r="A309" s="55"/>
      <c r="B309" s="55">
        <v>3639</v>
      </c>
      <c r="C309" s="55">
        <v>3112</v>
      </c>
      <c r="D309" s="55" t="s">
        <v>402</v>
      </c>
      <c r="E309" s="82"/>
      <c r="F309" s="82"/>
      <c r="G309" s="82"/>
      <c r="H309" s="222" t="e">
        <f t="shared" si="8"/>
        <v>#DIV/0!</v>
      </c>
    </row>
    <row r="310" spans="1:8" ht="15" hidden="1">
      <c r="A310" s="55"/>
      <c r="B310" s="55">
        <v>3612</v>
      </c>
      <c r="C310" s="55">
        <v>3111</v>
      </c>
      <c r="D310" s="55" t="s">
        <v>403</v>
      </c>
      <c r="E310" s="82"/>
      <c r="F310" s="82"/>
      <c r="G310" s="82"/>
      <c r="H310" s="222" t="e">
        <f t="shared" si="8"/>
        <v>#DIV/0!</v>
      </c>
    </row>
    <row r="311" spans="1:8" ht="15" hidden="1">
      <c r="A311" s="55"/>
      <c r="B311" s="55">
        <v>3639</v>
      </c>
      <c r="C311" s="55">
        <v>3112</v>
      </c>
      <c r="D311" s="55" t="s">
        <v>404</v>
      </c>
      <c r="E311" s="82"/>
      <c r="F311" s="82"/>
      <c r="G311" s="82"/>
      <c r="H311" s="222" t="e">
        <f t="shared" si="8"/>
        <v>#DIV/0!</v>
      </c>
    </row>
    <row r="312" spans="1:8" ht="15" hidden="1">
      <c r="A312" s="55"/>
      <c r="B312" s="55">
        <v>3639</v>
      </c>
      <c r="C312" s="55">
        <v>3113</v>
      </c>
      <c r="D312" s="55" t="s">
        <v>405</v>
      </c>
      <c r="E312" s="82"/>
      <c r="F312" s="82"/>
      <c r="G312" s="82"/>
      <c r="H312" s="222" t="e">
        <f t="shared" si="8"/>
        <v>#DIV/0!</v>
      </c>
    </row>
    <row r="313" spans="1:8" ht="15" customHeight="1">
      <c r="A313" s="121"/>
      <c r="B313" s="121">
        <v>3639</v>
      </c>
      <c r="C313" s="121">
        <v>3119</v>
      </c>
      <c r="D313" s="121" t="s">
        <v>406</v>
      </c>
      <c r="E313" s="82">
        <v>7200</v>
      </c>
      <c r="F313" s="82">
        <v>7200</v>
      </c>
      <c r="G313" s="82">
        <v>3000</v>
      </c>
      <c r="H313" s="222">
        <f t="shared" si="8"/>
        <v>41.66666666666667</v>
      </c>
    </row>
    <row r="314" spans="1:8" ht="15" hidden="1">
      <c r="A314" s="121"/>
      <c r="B314" s="121">
        <v>6171</v>
      </c>
      <c r="C314" s="121">
        <v>2131</v>
      </c>
      <c r="D314" s="121" t="s">
        <v>297</v>
      </c>
      <c r="E314" s="82"/>
      <c r="F314" s="82"/>
      <c r="G314" s="82"/>
      <c r="H314" s="222"/>
    </row>
    <row r="315" spans="1:8" ht="15" hidden="1">
      <c r="A315" s="55"/>
      <c r="B315" s="55">
        <v>6171</v>
      </c>
      <c r="C315" s="55">
        <v>2324</v>
      </c>
      <c r="D315" s="55" t="s">
        <v>407</v>
      </c>
      <c r="E315" s="82"/>
      <c r="F315" s="82"/>
      <c r="G315" s="82"/>
      <c r="H315" s="222"/>
    </row>
    <row r="316" spans="1:8" ht="15" hidden="1">
      <c r="A316" s="55"/>
      <c r="B316" s="55"/>
      <c r="C316" s="55"/>
      <c r="D316" s="55"/>
      <c r="E316" s="82"/>
      <c r="F316" s="82"/>
      <c r="G316" s="82"/>
      <c r="H316" s="222"/>
    </row>
    <row r="317" spans="1:8" ht="15.75" customHeight="1" thickBot="1">
      <c r="A317" s="152"/>
      <c r="B317" s="152"/>
      <c r="C317" s="152"/>
      <c r="D317" s="152"/>
      <c r="E317" s="153"/>
      <c r="F317" s="153"/>
      <c r="G317" s="153"/>
      <c r="H317" s="236"/>
    </row>
    <row r="318" spans="1:8" s="97" customFormat="1" ht="22.5" customHeight="1" thickBot="1" thickTop="1">
      <c r="A318" s="141"/>
      <c r="B318" s="141"/>
      <c r="C318" s="141"/>
      <c r="D318" s="142" t="s">
        <v>408</v>
      </c>
      <c r="E318" s="143">
        <f>SUM(E293:E317)</f>
        <v>60000</v>
      </c>
      <c r="F318" s="143">
        <f>SUM(F293:F317)</f>
        <v>60000</v>
      </c>
      <c r="G318" s="143">
        <f>SUM(G293:G317)</f>
        <v>42211.5</v>
      </c>
      <c r="H318" s="224">
        <f>(G318/F318)*100</f>
        <v>70.35249999999999</v>
      </c>
    </row>
    <row r="319" spans="1:8" ht="15" customHeight="1">
      <c r="A319" s="97"/>
      <c r="B319" s="133"/>
      <c r="C319" s="133"/>
      <c r="D319" s="133"/>
      <c r="E319" s="150"/>
      <c r="F319" s="150"/>
      <c r="G319" s="150"/>
      <c r="H319" s="235"/>
    </row>
    <row r="320" spans="1:8" ht="15" customHeight="1" hidden="1">
      <c r="A320" s="97"/>
      <c r="B320" s="133"/>
      <c r="C320" s="133"/>
      <c r="D320" s="133"/>
      <c r="E320" s="150"/>
      <c r="F320" s="150"/>
      <c r="G320" s="150"/>
      <c r="H320" s="235"/>
    </row>
    <row r="321" spans="1:8" ht="15" customHeight="1" hidden="1">
      <c r="A321" s="97"/>
      <c r="B321" s="133"/>
      <c r="C321" s="133"/>
      <c r="D321" s="133"/>
      <c r="E321" s="150"/>
      <c r="F321" s="150"/>
      <c r="G321" s="150"/>
      <c r="H321" s="235"/>
    </row>
    <row r="322" spans="1:8" ht="15" customHeight="1" hidden="1">
      <c r="A322" s="97"/>
      <c r="B322" s="133"/>
      <c r="C322" s="133"/>
      <c r="D322" s="133"/>
      <c r="E322" s="150"/>
      <c r="F322" s="150"/>
      <c r="G322" s="150"/>
      <c r="H322" s="235"/>
    </row>
    <row r="323" spans="1:8" ht="15" customHeight="1" hidden="1">
      <c r="A323" s="97"/>
      <c r="B323" s="133"/>
      <c r="C323" s="133"/>
      <c r="D323" s="133"/>
      <c r="E323" s="150"/>
      <c r="F323" s="150"/>
      <c r="G323" s="150"/>
      <c r="H323" s="235"/>
    </row>
    <row r="324" spans="1:8" ht="15" customHeight="1" hidden="1">
      <c r="A324" s="97"/>
      <c r="B324" s="133"/>
      <c r="C324" s="133"/>
      <c r="D324" s="133"/>
      <c r="E324" s="150"/>
      <c r="F324" s="150"/>
      <c r="G324" s="150"/>
      <c r="H324" s="235"/>
    </row>
    <row r="325" spans="1:8" ht="15" customHeight="1" hidden="1">
      <c r="A325" s="97"/>
      <c r="B325" s="133"/>
      <c r="C325" s="133"/>
      <c r="D325" s="133"/>
      <c r="E325" s="150"/>
      <c r="F325" s="150"/>
      <c r="G325" s="150"/>
      <c r="H325" s="235"/>
    </row>
    <row r="326" spans="1:8" ht="15" customHeight="1" hidden="1">
      <c r="A326" s="97"/>
      <c r="B326" s="133"/>
      <c r="C326" s="133"/>
      <c r="D326" s="133"/>
      <c r="E326" s="150"/>
      <c r="F326" s="150"/>
      <c r="G326" s="102"/>
      <c r="H326" s="230"/>
    </row>
    <row r="327" spans="1:8" ht="15" customHeight="1" hidden="1">
      <c r="A327" s="97"/>
      <c r="B327" s="133"/>
      <c r="C327" s="133"/>
      <c r="D327" s="133"/>
      <c r="E327" s="150"/>
      <c r="F327" s="150"/>
      <c r="G327" s="150"/>
      <c r="H327" s="235"/>
    </row>
    <row r="328" spans="1:8" ht="15" customHeight="1">
      <c r="A328" s="97"/>
      <c r="B328" s="133"/>
      <c r="C328" s="133"/>
      <c r="D328" s="133"/>
      <c r="E328" s="150"/>
      <c r="F328" s="150"/>
      <c r="G328" s="150"/>
      <c r="H328" s="235"/>
    </row>
    <row r="329" spans="1:8" ht="15" customHeight="1" thickBot="1">
      <c r="A329" s="97"/>
      <c r="B329" s="133"/>
      <c r="C329" s="133"/>
      <c r="D329" s="133"/>
      <c r="E329" s="150"/>
      <c r="F329" s="150"/>
      <c r="G329" s="150"/>
      <c r="H329" s="235"/>
    </row>
    <row r="330" spans="1:8" ht="15.75">
      <c r="A330" s="215" t="s">
        <v>3</v>
      </c>
      <c r="B330" s="215" t="s">
        <v>4</v>
      </c>
      <c r="C330" s="215" t="s">
        <v>210</v>
      </c>
      <c r="D330" s="216" t="s">
        <v>5</v>
      </c>
      <c r="E330" s="217" t="s">
        <v>6</v>
      </c>
      <c r="F330" s="217" t="s">
        <v>6</v>
      </c>
      <c r="G330" s="217" t="s">
        <v>7</v>
      </c>
      <c r="H330" s="226" t="s">
        <v>211</v>
      </c>
    </row>
    <row r="331" spans="1:8" ht="15.75" customHeight="1" thickBot="1">
      <c r="A331" s="218"/>
      <c r="B331" s="218"/>
      <c r="C331" s="218"/>
      <c r="D331" s="219"/>
      <c r="E331" s="220" t="s">
        <v>9</v>
      </c>
      <c r="F331" s="220" t="s">
        <v>10</v>
      </c>
      <c r="G331" s="221" t="s">
        <v>12</v>
      </c>
      <c r="H331" s="227" t="s">
        <v>212</v>
      </c>
    </row>
    <row r="332" spans="1:8" ht="16.5" thickTop="1">
      <c r="A332" s="108">
        <v>8888</v>
      </c>
      <c r="B332" s="108"/>
      <c r="C332" s="108"/>
      <c r="D332" s="109"/>
      <c r="E332" s="110"/>
      <c r="F332" s="110"/>
      <c r="G332" s="110"/>
      <c r="H332" s="228"/>
    </row>
    <row r="333" spans="1:8" ht="15">
      <c r="A333" s="55"/>
      <c r="B333" s="55">
        <v>6171</v>
      </c>
      <c r="C333" s="55">
        <v>2329</v>
      </c>
      <c r="D333" s="55" t="s">
        <v>409</v>
      </c>
      <c r="E333" s="82">
        <v>0</v>
      </c>
      <c r="F333" s="82">
        <v>0</v>
      </c>
      <c r="G333" s="82">
        <v>-286.4</v>
      </c>
      <c r="H333" s="222" t="e">
        <f>(G333/F333)*100</f>
        <v>#DIV/0!</v>
      </c>
    </row>
    <row r="334" spans="1:8" ht="15">
      <c r="A334" s="55"/>
      <c r="B334" s="55"/>
      <c r="C334" s="55"/>
      <c r="D334" s="55" t="s">
        <v>410</v>
      </c>
      <c r="E334" s="82"/>
      <c r="F334" s="82"/>
      <c r="G334" s="82"/>
      <c r="H334" s="222"/>
    </row>
    <row r="335" spans="1:8" ht="15.75" thickBot="1">
      <c r="A335" s="138"/>
      <c r="B335" s="138"/>
      <c r="C335" s="138"/>
      <c r="D335" s="138" t="s">
        <v>411</v>
      </c>
      <c r="E335" s="139"/>
      <c r="F335" s="139"/>
      <c r="G335" s="139"/>
      <c r="H335" s="233"/>
    </row>
    <row r="336" spans="1:8" s="97" customFormat="1" ht="22.5" customHeight="1" thickBot="1" thickTop="1">
      <c r="A336" s="141"/>
      <c r="B336" s="141"/>
      <c r="C336" s="141"/>
      <c r="D336" s="142" t="s">
        <v>412</v>
      </c>
      <c r="E336" s="143">
        <f>SUM(E333:E334)</f>
        <v>0</v>
      </c>
      <c r="F336" s="143">
        <f>SUM(F333:F334)</f>
        <v>0</v>
      </c>
      <c r="G336" s="143">
        <f>SUM(G333:G334)</f>
        <v>-286.4</v>
      </c>
      <c r="H336" s="224" t="e">
        <f>(G336/F336)*100</f>
        <v>#DIV/0!</v>
      </c>
    </row>
    <row r="337" spans="1:8" ht="15">
      <c r="A337" s="97"/>
      <c r="B337" s="133"/>
      <c r="C337" s="133"/>
      <c r="D337" s="133"/>
      <c r="E337" s="150"/>
      <c r="F337" s="150"/>
      <c r="G337" s="150"/>
      <c r="H337" s="235"/>
    </row>
    <row r="338" spans="1:8" ht="15" hidden="1">
      <c r="A338" s="97"/>
      <c r="B338" s="133"/>
      <c r="C338" s="133"/>
      <c r="D338" s="133"/>
      <c r="E338" s="150"/>
      <c r="F338" s="150"/>
      <c r="G338" s="150"/>
      <c r="H338" s="235"/>
    </row>
    <row r="339" spans="1:8" ht="15" hidden="1">
      <c r="A339" s="97"/>
      <c r="B339" s="133"/>
      <c r="C339" s="133"/>
      <c r="D339" s="133"/>
      <c r="E339" s="150"/>
      <c r="F339" s="150"/>
      <c r="G339" s="150"/>
      <c r="H339" s="235"/>
    </row>
    <row r="340" spans="1:8" ht="15" hidden="1">
      <c r="A340" s="97"/>
      <c r="B340" s="133"/>
      <c r="C340" s="133"/>
      <c r="D340" s="133"/>
      <c r="E340" s="150"/>
      <c r="F340" s="150"/>
      <c r="G340" s="150"/>
      <c r="H340" s="235"/>
    </row>
    <row r="341" spans="1:8" ht="15" hidden="1">
      <c r="A341" s="97"/>
      <c r="B341" s="133"/>
      <c r="C341" s="133"/>
      <c r="D341" s="133"/>
      <c r="E341" s="150"/>
      <c r="F341" s="150"/>
      <c r="G341" s="150"/>
      <c r="H341" s="235"/>
    </row>
    <row r="342" spans="1:8" ht="15" hidden="1">
      <c r="A342" s="97"/>
      <c r="B342" s="133"/>
      <c r="C342" s="133"/>
      <c r="D342" s="133"/>
      <c r="E342" s="150"/>
      <c r="F342" s="150"/>
      <c r="G342" s="150"/>
      <c r="H342" s="235"/>
    </row>
    <row r="343" spans="1:8" ht="15" customHeight="1">
      <c r="A343" s="97"/>
      <c r="B343" s="133"/>
      <c r="C343" s="133"/>
      <c r="D343" s="133"/>
      <c r="E343" s="150"/>
      <c r="F343" s="150"/>
      <c r="G343" s="150"/>
      <c r="H343" s="235"/>
    </row>
    <row r="344" spans="1:8" ht="15" customHeight="1" thickBot="1">
      <c r="A344" s="97"/>
      <c r="B344" s="97"/>
      <c r="C344" s="97"/>
      <c r="D344" s="97"/>
      <c r="E344" s="98"/>
      <c r="F344" s="98"/>
      <c r="G344" s="98"/>
      <c r="H344" s="225"/>
    </row>
    <row r="345" spans="1:8" ht="15.75">
      <c r="A345" s="215" t="s">
        <v>3</v>
      </c>
      <c r="B345" s="215" t="s">
        <v>4</v>
      </c>
      <c r="C345" s="215" t="s">
        <v>210</v>
      </c>
      <c r="D345" s="216" t="s">
        <v>5</v>
      </c>
      <c r="E345" s="217" t="s">
        <v>6</v>
      </c>
      <c r="F345" s="217" t="s">
        <v>6</v>
      </c>
      <c r="G345" s="217" t="s">
        <v>7</v>
      </c>
      <c r="H345" s="226" t="s">
        <v>211</v>
      </c>
    </row>
    <row r="346" spans="1:8" ht="15.75" customHeight="1" thickBot="1">
      <c r="A346" s="218"/>
      <c r="B346" s="218"/>
      <c r="C346" s="218"/>
      <c r="D346" s="219"/>
      <c r="E346" s="220" t="s">
        <v>9</v>
      </c>
      <c r="F346" s="220" t="s">
        <v>10</v>
      </c>
      <c r="G346" s="221" t="s">
        <v>12</v>
      </c>
      <c r="H346" s="227" t="s">
        <v>212</v>
      </c>
    </row>
    <row r="347" spans="1:8" s="97" customFormat="1" ht="30.75" customHeight="1" thickBot="1" thickTop="1">
      <c r="A347" s="142"/>
      <c r="B347" s="154"/>
      <c r="C347" s="155"/>
      <c r="D347" s="156" t="s">
        <v>413</v>
      </c>
      <c r="E347" s="157">
        <f>SUM(E47,E66,E122,E158,E183,E198,E213,E229,E249,E285,E318,E336)</f>
        <v>650602</v>
      </c>
      <c r="F347" s="157">
        <f>SUM(F47,F66,F122,F158,F183,F198,F213,F229,F249,F285,F318,F336)</f>
        <v>658536.1</v>
      </c>
      <c r="G347" s="157">
        <f>SUM(G47,G66,G122,G158,G183,G198,G213,G229,G249,G285,G318,G336)</f>
        <v>358339.2</v>
      </c>
      <c r="H347" s="237">
        <f>(G347/F347)*100</f>
        <v>54.41451121662123</v>
      </c>
    </row>
    <row r="348" spans="1:8" ht="15" customHeight="1">
      <c r="A348" s="104"/>
      <c r="B348" s="158"/>
      <c r="C348" s="159"/>
      <c r="D348" s="160"/>
      <c r="E348" s="161"/>
      <c r="F348" s="161"/>
      <c r="G348" s="161"/>
      <c r="H348" s="238"/>
    </row>
    <row r="349" spans="1:8" ht="15" customHeight="1" hidden="1">
      <c r="A349" s="104"/>
      <c r="B349" s="158"/>
      <c r="C349" s="159"/>
      <c r="D349" s="160"/>
      <c r="E349" s="161"/>
      <c r="F349" s="161"/>
      <c r="G349" s="161"/>
      <c r="H349" s="238"/>
    </row>
    <row r="350" spans="1:8" ht="12.75" customHeight="1" hidden="1">
      <c r="A350" s="104"/>
      <c r="B350" s="158"/>
      <c r="C350" s="159"/>
      <c r="D350" s="160"/>
      <c r="E350" s="161"/>
      <c r="F350" s="161"/>
      <c r="G350" s="161"/>
      <c r="H350" s="238"/>
    </row>
    <row r="351" spans="1:8" ht="12.75" customHeight="1" hidden="1">
      <c r="A351" s="104"/>
      <c r="B351" s="158"/>
      <c r="C351" s="159"/>
      <c r="D351" s="160"/>
      <c r="E351" s="161"/>
      <c r="F351" s="161"/>
      <c r="G351" s="161"/>
      <c r="H351" s="238"/>
    </row>
    <row r="352" spans="1:8" ht="12.75" customHeight="1" hidden="1">
      <c r="A352" s="104"/>
      <c r="B352" s="158"/>
      <c r="C352" s="159"/>
      <c r="D352" s="160"/>
      <c r="E352" s="161"/>
      <c r="F352" s="161"/>
      <c r="G352" s="161"/>
      <c r="H352" s="238"/>
    </row>
    <row r="353" spans="1:8" ht="12.75" customHeight="1" hidden="1">
      <c r="A353" s="104"/>
      <c r="B353" s="158"/>
      <c r="C353" s="159"/>
      <c r="D353" s="160"/>
      <c r="E353" s="161"/>
      <c r="F353" s="161"/>
      <c r="G353" s="161"/>
      <c r="H353" s="238"/>
    </row>
    <row r="354" spans="1:8" ht="12.75" customHeight="1" hidden="1">
      <c r="A354" s="104"/>
      <c r="B354" s="158"/>
      <c r="C354" s="159"/>
      <c r="D354" s="160"/>
      <c r="E354" s="161"/>
      <c r="F354" s="161"/>
      <c r="G354" s="161"/>
      <c r="H354" s="238"/>
    </row>
    <row r="355" spans="1:8" ht="12.75" customHeight="1" hidden="1">
      <c r="A355" s="104"/>
      <c r="B355" s="158"/>
      <c r="C355" s="159"/>
      <c r="D355" s="160"/>
      <c r="E355" s="161"/>
      <c r="F355" s="161"/>
      <c r="G355" s="161"/>
      <c r="H355" s="238"/>
    </row>
    <row r="356" spans="1:8" ht="15" customHeight="1">
      <c r="A356" s="104"/>
      <c r="B356" s="158"/>
      <c r="C356" s="159"/>
      <c r="D356" s="160"/>
      <c r="E356" s="161"/>
      <c r="F356" s="161"/>
      <c r="G356" s="161"/>
      <c r="H356" s="238"/>
    </row>
    <row r="357" spans="1:8" ht="15" customHeight="1" thickBot="1">
      <c r="A357" s="104"/>
      <c r="B357" s="158"/>
      <c r="C357" s="159"/>
      <c r="D357" s="160"/>
      <c r="E357" s="162"/>
      <c r="F357" s="162"/>
      <c r="G357" s="162"/>
      <c r="H357" s="239"/>
    </row>
    <row r="358" spans="1:8" ht="15.75">
      <c r="A358" s="215" t="s">
        <v>3</v>
      </c>
      <c r="B358" s="215" t="s">
        <v>4</v>
      </c>
      <c r="C358" s="215" t="s">
        <v>210</v>
      </c>
      <c r="D358" s="216" t="s">
        <v>5</v>
      </c>
      <c r="E358" s="217" t="s">
        <v>6</v>
      </c>
      <c r="F358" s="217" t="s">
        <v>6</v>
      </c>
      <c r="G358" s="217" t="s">
        <v>7</v>
      </c>
      <c r="H358" s="226" t="s">
        <v>211</v>
      </c>
    </row>
    <row r="359" spans="1:8" ht="15.75" customHeight="1" thickBot="1">
      <c r="A359" s="218"/>
      <c r="B359" s="218"/>
      <c r="C359" s="218"/>
      <c r="D359" s="219"/>
      <c r="E359" s="220" t="s">
        <v>9</v>
      </c>
      <c r="F359" s="220" t="s">
        <v>10</v>
      </c>
      <c r="G359" s="221" t="s">
        <v>12</v>
      </c>
      <c r="H359" s="227" t="s">
        <v>212</v>
      </c>
    </row>
    <row r="360" spans="1:8" ht="16.5" customHeight="1" thickTop="1">
      <c r="A360" s="148">
        <v>110</v>
      </c>
      <c r="B360" s="148"/>
      <c r="C360" s="148"/>
      <c r="D360" s="163" t="s">
        <v>414</v>
      </c>
      <c r="E360" s="164"/>
      <c r="F360" s="164"/>
      <c r="G360" s="164"/>
      <c r="H360" s="240"/>
    </row>
    <row r="361" spans="1:8" ht="14.25" customHeight="1">
      <c r="A361" s="165"/>
      <c r="B361" s="165"/>
      <c r="C361" s="165"/>
      <c r="D361" s="104"/>
      <c r="E361" s="164"/>
      <c r="F361" s="164"/>
      <c r="G361" s="164"/>
      <c r="H361" s="240"/>
    </row>
    <row r="362" spans="1:8" ht="15" customHeight="1">
      <c r="A362" s="55"/>
      <c r="B362" s="55"/>
      <c r="C362" s="55">
        <v>8115</v>
      </c>
      <c r="D362" s="57" t="s">
        <v>415</v>
      </c>
      <c r="E362" s="166">
        <v>6478</v>
      </c>
      <c r="F362" s="166">
        <v>163083.4</v>
      </c>
      <c r="G362" s="166">
        <v>68662.9</v>
      </c>
      <c r="H362" s="222">
        <f>(G362/F362)*100</f>
        <v>42.10293628903984</v>
      </c>
    </row>
    <row r="363" spans="1:8" ht="15" hidden="1">
      <c r="A363" s="55"/>
      <c r="B363" s="55"/>
      <c r="C363" s="55">
        <v>8123</v>
      </c>
      <c r="D363" s="167" t="s">
        <v>416</v>
      </c>
      <c r="E363" s="83"/>
      <c r="F363" s="83"/>
      <c r="G363" s="83"/>
      <c r="H363" s="222" t="e">
        <f>(G363/F363)*100</f>
        <v>#DIV/0!</v>
      </c>
    </row>
    <row r="364" spans="1:8" ht="14.25" customHeight="1">
      <c r="A364" s="55"/>
      <c r="B364" s="55"/>
      <c r="C364" s="55">
        <v>8124</v>
      </c>
      <c r="D364" s="57" t="s">
        <v>417</v>
      </c>
      <c r="E364" s="82">
        <v>-18378</v>
      </c>
      <c r="F364" s="82">
        <v>-18378</v>
      </c>
      <c r="G364" s="82">
        <v>-9009.2</v>
      </c>
      <c r="H364" s="222">
        <f>(G364/F364)*100</f>
        <v>49.021656328218526</v>
      </c>
    </row>
    <row r="365" spans="1:8" ht="15" customHeight="1" thickBot="1">
      <c r="A365" s="152"/>
      <c r="B365" s="152"/>
      <c r="C365" s="152">
        <v>8902</v>
      </c>
      <c r="D365" s="168" t="s">
        <v>418</v>
      </c>
      <c r="E365" s="153">
        <v>0</v>
      </c>
      <c r="F365" s="153">
        <v>0</v>
      </c>
      <c r="G365" s="153">
        <v>0</v>
      </c>
      <c r="H365" s="222" t="e">
        <f>(G365/F365)*100</f>
        <v>#DIV/0!</v>
      </c>
    </row>
    <row r="366" spans="1:8" s="97" customFormat="1" ht="22.5" customHeight="1" thickBot="1" thickTop="1">
      <c r="A366" s="141"/>
      <c r="B366" s="141"/>
      <c r="C366" s="141"/>
      <c r="D366" s="169" t="s">
        <v>419</v>
      </c>
      <c r="E366" s="143">
        <f>SUM(E362:E365)</f>
        <v>-11900</v>
      </c>
      <c r="F366" s="143">
        <f>SUM(F362:F365)</f>
        <v>144705.4</v>
      </c>
      <c r="G366" s="143">
        <f>SUM(G362:G365)</f>
        <v>59653.7</v>
      </c>
      <c r="H366" s="224">
        <f>(G366/F366)*100</f>
        <v>41.224239040146394</v>
      </c>
    </row>
    <row r="367" spans="1:8" s="97" customFormat="1" ht="22.5" customHeight="1">
      <c r="A367" s="133"/>
      <c r="B367" s="133"/>
      <c r="C367" s="133"/>
      <c r="D367" s="104"/>
      <c r="E367" s="134"/>
      <c r="F367" s="134"/>
      <c r="G367" s="134"/>
      <c r="H367" s="231"/>
    </row>
    <row r="368" spans="1:8" ht="15" customHeight="1">
      <c r="A368" s="97" t="s">
        <v>420</v>
      </c>
      <c r="B368" s="97"/>
      <c r="C368" s="97"/>
      <c r="D368" s="104"/>
      <c r="E368" s="134"/>
      <c r="F368" s="134"/>
      <c r="G368" s="134"/>
      <c r="H368" s="231"/>
    </row>
    <row r="369" spans="1:8" ht="15">
      <c r="A369" s="133"/>
      <c r="B369" s="97"/>
      <c r="C369" s="133"/>
      <c r="D369" s="97"/>
      <c r="E369" s="98"/>
      <c r="F369" s="98"/>
      <c r="G369" s="98"/>
      <c r="H369" s="225"/>
    </row>
    <row r="370" spans="1:8" ht="15">
      <c r="A370" s="133"/>
      <c r="B370" s="133"/>
      <c r="C370" s="133"/>
      <c r="D370" s="97"/>
      <c r="E370" s="98"/>
      <c r="F370" s="98"/>
      <c r="G370" s="98"/>
      <c r="H370" s="225"/>
    </row>
    <row r="371" spans="1:8" ht="15" hidden="1">
      <c r="A371" s="32"/>
      <c r="B371" s="32"/>
      <c r="C371" s="32"/>
      <c r="D371" s="10" t="s">
        <v>421</v>
      </c>
      <c r="E371" s="71" t="e">
        <f>SUM(E12,E132,E133,E222,E243,E274,#REF!)</f>
        <v>#REF!</v>
      </c>
      <c r="F371" s="71"/>
      <c r="G371" s="71"/>
      <c r="H371" s="241"/>
    </row>
    <row r="372" spans="1:8" ht="15">
      <c r="A372" s="32"/>
      <c r="B372" s="32"/>
      <c r="C372" s="32"/>
      <c r="D372" s="33" t="s">
        <v>422</v>
      </c>
      <c r="E372" s="58">
        <f>E347+E366</f>
        <v>638702</v>
      </c>
      <c r="F372" s="58">
        <f>F347+F366</f>
        <v>803241.5</v>
      </c>
      <c r="G372" s="58">
        <f>G347+G366</f>
        <v>417992.9</v>
      </c>
      <c r="H372" s="222">
        <f>(G372/F372)*100</f>
        <v>52.03825997536234</v>
      </c>
    </row>
    <row r="373" spans="1:8" ht="15" hidden="1">
      <c r="A373" s="32"/>
      <c r="B373" s="32"/>
      <c r="C373" s="32"/>
      <c r="D373" s="33" t="s">
        <v>423</v>
      </c>
      <c r="E373" s="58"/>
      <c r="F373" s="58"/>
      <c r="G373" s="58"/>
      <c r="H373" s="58"/>
    </row>
    <row r="374" spans="1:8" ht="15" hidden="1">
      <c r="A374" s="32"/>
      <c r="B374" s="32"/>
      <c r="C374" s="32"/>
      <c r="D374" s="32" t="s">
        <v>424</v>
      </c>
      <c r="E374" s="170">
        <f>SUM(E246,E299,E301,E308,E313)</f>
        <v>35785</v>
      </c>
      <c r="F374" s="170"/>
      <c r="G374" s="170"/>
      <c r="H374" s="170"/>
    </row>
    <row r="375" spans="1:8" ht="15" hidden="1">
      <c r="A375" s="10"/>
      <c r="B375" s="10"/>
      <c r="C375" s="10"/>
      <c r="D375" s="10" t="s">
        <v>425</v>
      </c>
      <c r="E375" s="71"/>
      <c r="F375" s="71"/>
      <c r="G375" s="71"/>
      <c r="H375" s="71"/>
    </row>
    <row r="376" spans="1:8" ht="15" hidden="1">
      <c r="A376" s="10"/>
      <c r="B376" s="10"/>
      <c r="C376" s="10"/>
      <c r="D376" s="10" t="s">
        <v>424</v>
      </c>
      <c r="E376" s="71"/>
      <c r="F376" s="71"/>
      <c r="G376" s="71"/>
      <c r="H376" s="71"/>
    </row>
    <row r="377" spans="1:8" ht="15" hidden="1">
      <c r="A377" s="10"/>
      <c r="B377" s="10"/>
      <c r="C377" s="10"/>
      <c r="D377" s="10"/>
      <c r="E377" s="71"/>
      <c r="F377" s="71"/>
      <c r="G377" s="71"/>
      <c r="H377" s="71"/>
    </row>
    <row r="378" spans="1:8" ht="15" hidden="1">
      <c r="A378" s="10"/>
      <c r="B378" s="10"/>
      <c r="C378" s="10"/>
      <c r="D378" s="10" t="s">
        <v>426</v>
      </c>
      <c r="E378" s="71"/>
      <c r="F378" s="71"/>
      <c r="G378" s="71"/>
      <c r="H378" s="71"/>
    </row>
    <row r="379" spans="1:8" ht="15" hidden="1">
      <c r="A379" s="10"/>
      <c r="B379" s="10"/>
      <c r="C379" s="10"/>
      <c r="D379" s="10" t="s">
        <v>427</v>
      </c>
      <c r="E379" s="71"/>
      <c r="F379" s="71"/>
      <c r="G379" s="71"/>
      <c r="H379" s="71"/>
    </row>
    <row r="380" spans="1:8" ht="15" hidden="1">
      <c r="A380" s="10"/>
      <c r="B380" s="10"/>
      <c r="C380" s="10"/>
      <c r="D380" s="10" t="s">
        <v>428</v>
      </c>
      <c r="E380" s="71">
        <f>SUM(E9,E10,E74,E75,E76,E131,E169,E170,E171,E172,E173,E194,E206,E208,E244,E258,E259,E260,E261,E262,E263,E266,E267,E268,E270,E271,E272)</f>
        <v>342678</v>
      </c>
      <c r="F380" s="71"/>
      <c r="G380" s="71"/>
      <c r="H380" s="71"/>
    </row>
    <row r="381" spans="1:8" ht="15.75" hidden="1">
      <c r="A381" s="10"/>
      <c r="B381" s="10"/>
      <c r="C381" s="10"/>
      <c r="D381" s="42" t="s">
        <v>429</v>
      </c>
      <c r="E381" s="171">
        <v>0</v>
      </c>
      <c r="F381" s="171"/>
      <c r="G381" s="171"/>
      <c r="H381" s="171"/>
    </row>
    <row r="382" spans="1:8" ht="15" hidden="1">
      <c r="A382" s="10"/>
      <c r="B382" s="10"/>
      <c r="C382" s="10"/>
      <c r="D382" s="10"/>
      <c r="E382" s="71"/>
      <c r="F382" s="71"/>
      <c r="G382" s="71"/>
      <c r="H382" s="71"/>
    </row>
    <row r="383" spans="1:8" ht="15" hidden="1">
      <c r="A383" s="10"/>
      <c r="B383" s="10"/>
      <c r="C383" s="10"/>
      <c r="D383" s="10"/>
      <c r="E383" s="71"/>
      <c r="F383" s="71"/>
      <c r="G383" s="71"/>
      <c r="H383" s="71"/>
    </row>
    <row r="384" spans="1:8" ht="15">
      <c r="A384" s="10"/>
      <c r="B384" s="10"/>
      <c r="C384" s="10"/>
      <c r="D384" s="10"/>
      <c r="E384" s="71"/>
      <c r="F384" s="71"/>
      <c r="G384" s="71"/>
      <c r="H384" s="71"/>
    </row>
    <row r="385" spans="1:8" ht="15">
      <c r="A385" s="10"/>
      <c r="B385" s="10"/>
      <c r="C385" s="10"/>
      <c r="D385" s="10"/>
      <c r="E385" s="71"/>
      <c r="F385" s="71"/>
      <c r="G385" s="71"/>
      <c r="H385" s="71"/>
    </row>
    <row r="386" spans="1:8" ht="15.75" hidden="1">
      <c r="A386" s="10"/>
      <c r="B386" s="10"/>
      <c r="C386" s="10"/>
      <c r="D386" s="10" t="s">
        <v>425</v>
      </c>
      <c r="E386" s="171">
        <f>SUM(E9,E10,E74,E75,E76,E77,E131,E169,E170,E171,E172,E173,E194,E206,E207,E208,E243,E258,E259,E260,E261,E262,E263,E266,E267,E268,E270,E271,E272)</f>
        <v>343438</v>
      </c>
      <c r="F386" s="171">
        <f>SUM(F9,F10,F74,F75,F76,F77,F131,F169,F170,F171,F172,F173,F194,F206,F207,F208,F243,F258,F259,F260,F261,F262,F263,F266,F267,F268,F270,F271,F272)</f>
        <v>343438</v>
      </c>
      <c r="G386" s="171">
        <f>SUM(G9,G10,G74,G75,G76,G77,G131,G169,G170,G171,G172,G173,G194,G206,G207,G208,G243,G258,G259,G260,G261,G262,G263,G266,G267,G268,G270,G271,G272)</f>
        <v>199846.3</v>
      </c>
      <c r="H386" s="171" t="e">
        <f>SUM(H9,H10,H74,H75,H76,H77,H131,H169,H170,H171,H172,H173,H194,H206,H207,H208,H243,H258,H259,H260,H261,H262,H263,H266,H267,H268,H270,H271,H272)</f>
        <v>#DIV/0!</v>
      </c>
    </row>
    <row r="387" spans="1:8" ht="15" hidden="1">
      <c r="A387" s="10"/>
      <c r="B387" s="10"/>
      <c r="C387" s="10"/>
      <c r="D387" s="10" t="s">
        <v>430</v>
      </c>
      <c r="E387" s="71">
        <f>SUM(E258,E259,E260,E261,E263)</f>
        <v>209800</v>
      </c>
      <c r="F387" s="71">
        <f>SUM(F258,F259,F260,F261,F263)</f>
        <v>209800</v>
      </c>
      <c r="G387" s="71">
        <f>SUM(G258,G259,G260,G261,G263)</f>
        <v>93868.2</v>
      </c>
      <c r="H387" s="71">
        <f>SUM(H258,H259,H260,H261,H263)</f>
        <v>214.4280168161276</v>
      </c>
    </row>
    <row r="388" spans="1:8" ht="15" hidden="1">
      <c r="A388" s="10"/>
      <c r="B388" s="10"/>
      <c r="C388" s="10"/>
      <c r="D388" s="10" t="s">
        <v>431</v>
      </c>
      <c r="E388" s="71">
        <f>SUM(E9,E74,E75,E76,E266,E267,E268)</f>
        <v>16555</v>
      </c>
      <c r="F388" s="71">
        <f>SUM(F9,F74,F75,F76,F266,F267,F268)</f>
        <v>16555</v>
      </c>
      <c r="G388" s="71">
        <f>SUM(G9,G74,G75,G76,G266,G267,G268)</f>
        <v>12344.000000000002</v>
      </c>
      <c r="H388" s="71">
        <f>SUM(H9,H74,H75,H76,H266,H267,H268)</f>
        <v>363.7096008629989</v>
      </c>
    </row>
    <row r="389" spans="1:8" ht="15" hidden="1">
      <c r="A389" s="10"/>
      <c r="B389" s="10"/>
      <c r="C389" s="10"/>
      <c r="D389" s="10" t="s">
        <v>432</v>
      </c>
      <c r="E389" s="71">
        <f>SUM(E10,E77,E131,E173,E194,E208,E243,E271)</f>
        <v>13513</v>
      </c>
      <c r="F389" s="71">
        <f>SUM(F10,F77,F131,F173,F194,F208,F243,F271)</f>
        <v>13513</v>
      </c>
      <c r="G389" s="71">
        <f>SUM(G10,G77,G131,G173,G194,G208,G243,G271)</f>
        <v>5504.2</v>
      </c>
      <c r="H389" s="71">
        <f>SUM(H10,H77,H131,H173,H194,H208,H243,H271)</f>
        <v>516.657755558259</v>
      </c>
    </row>
    <row r="390" spans="1:8" ht="15" hidden="1">
      <c r="A390" s="10"/>
      <c r="B390" s="10"/>
      <c r="C390" s="10"/>
      <c r="D390" s="10" t="s">
        <v>433</v>
      </c>
      <c r="E390" s="71"/>
      <c r="F390" s="71"/>
      <c r="G390" s="71"/>
      <c r="H390" s="71"/>
    </row>
    <row r="391" spans="1:8" ht="15" hidden="1">
      <c r="A391" s="10"/>
      <c r="B391" s="10"/>
      <c r="C391" s="10"/>
      <c r="D391" s="10" t="s">
        <v>434</v>
      </c>
      <c r="E391" s="71" t="e">
        <f>+E347-E386-E394-E395</f>
        <v>#REF!</v>
      </c>
      <c r="F391" s="71" t="e">
        <f>+F347-F386-F394-F395</f>
        <v>#REF!</v>
      </c>
      <c r="G391" s="71" t="e">
        <f>+G347-G386-G394-G395</f>
        <v>#REF!</v>
      </c>
      <c r="H391" s="71" t="e">
        <f>+H347-H386-H394-H395</f>
        <v>#DIV/0!</v>
      </c>
    </row>
    <row r="392" spans="1:8" ht="15" hidden="1">
      <c r="A392" s="10"/>
      <c r="B392" s="10"/>
      <c r="C392" s="10"/>
      <c r="D392" s="10" t="s">
        <v>435</v>
      </c>
      <c r="E392" s="71">
        <f>SUM(E22,E31,E39,E41,E91,E96,E100,E106,E110,E111,E295,E300,E302,E305)</f>
        <v>25610</v>
      </c>
      <c r="F392" s="71">
        <f>SUM(F22,F31,F39,F41,F91,F96,F100,F106,F110,F111,F295,F300,F302,F305)</f>
        <v>25610</v>
      </c>
      <c r="G392" s="71">
        <f>SUM(G22,G31,G39,G41,G91,G96,G100,G106,G110,G111,G295,G300,G302,G305)</f>
        <v>15570.300000000001</v>
      </c>
      <c r="H392" s="71" t="e">
        <f>SUM(H22,H31,H39,H41,H91,H96,H100,H106,H110,H111,H295,H300,H302,H305)</f>
        <v>#DIV/0!</v>
      </c>
    </row>
    <row r="393" spans="1:8" ht="15" hidden="1">
      <c r="A393" s="10"/>
      <c r="B393" s="10"/>
      <c r="C393" s="10"/>
      <c r="D393" s="10" t="s">
        <v>436</v>
      </c>
      <c r="E393" s="71" t="e">
        <f>SUM(E62,#REF!,E153,E179,E195,E209,E224,E245)</f>
        <v>#REF!</v>
      </c>
      <c r="F393" s="71" t="e">
        <f>SUM(F62,#REF!,F153,F179,F195,F209,F224,F245)</f>
        <v>#REF!</v>
      </c>
      <c r="G393" s="71" t="e">
        <f>SUM(G62,#REF!,G153,G179,G195,G209,G224,G245)</f>
        <v>#REF!</v>
      </c>
      <c r="H393" s="71" t="e">
        <f>SUM(H62,#REF!,H153,H179,H195,H209,H224,H245)</f>
        <v>#REF!</v>
      </c>
    </row>
    <row r="394" spans="1:8" ht="15" hidden="1">
      <c r="A394" s="10"/>
      <c r="B394" s="10"/>
      <c r="C394" s="10"/>
      <c r="D394" s="10" t="s">
        <v>424</v>
      </c>
      <c r="E394" s="71" t="e">
        <f>SUM(#REF!,E246,E299,E301,E308,E313)</f>
        <v>#REF!</v>
      </c>
      <c r="F394" s="71" t="e">
        <f>SUM(#REF!,F246,F299,F301,F308,F313)</f>
        <v>#REF!</v>
      </c>
      <c r="G394" s="71" t="e">
        <f>SUM(#REF!,G246,G299,G301,G308,G313)</f>
        <v>#REF!</v>
      </c>
      <c r="H394" s="71" t="e">
        <f>SUM(#REF!,H246,H299,H301,H308,H313)</f>
        <v>#REF!</v>
      </c>
    </row>
    <row r="395" spans="1:8" ht="15" hidden="1">
      <c r="A395" s="10"/>
      <c r="B395" s="10"/>
      <c r="C395" s="10"/>
      <c r="D395" s="10" t="s">
        <v>426</v>
      </c>
      <c r="E395" s="71" t="e">
        <f>SUM(E11,E12,E16,E57,#REF!,#REF!,#REF!,#REF!,E63,#REF!,#REF!,#REF!,#REF!,#REF!,#REF!,E80,E81,#REF!,E82,#REF!,E83,E85,#REF!,E132,E133,E175,E222,E244,E274)</f>
        <v>#REF!</v>
      </c>
      <c r="F395" s="71" t="e">
        <f>SUM(F11,F12,F16,F57,#REF!,#REF!,#REF!,#REF!,F63,#REF!,#REF!,#REF!,#REF!,#REF!,#REF!,F80,F81,#REF!,F82,#REF!,F83,F85,#REF!,F132,F133,F175,F222,F244,F274)</f>
        <v>#REF!</v>
      </c>
      <c r="G395" s="71" t="e">
        <f>SUM(G11,G12,G16,G57,#REF!,#REF!,#REF!,#REF!,G63,#REF!,#REF!,#REF!,#REF!,#REF!,#REF!,G80,G81,#REF!,G82,#REF!,G83,G85,#REF!,G132,G133,G175,G222,G244,G274)</f>
        <v>#REF!</v>
      </c>
      <c r="H395" s="71" t="e">
        <f>SUM(H11,H12,H16,H57,#REF!,#REF!,#REF!,#REF!,H63,#REF!,#REF!,#REF!,#REF!,#REF!,#REF!,H80,H81,#REF!,H82,#REF!,H83,H85,#REF!,H132,H133,H175,H222,H244,H274)</f>
        <v>#REF!</v>
      </c>
    </row>
    <row r="396" spans="1:8" ht="15" hidden="1">
      <c r="A396" s="10"/>
      <c r="B396" s="10"/>
      <c r="C396" s="10"/>
      <c r="D396" s="10"/>
      <c r="E396" s="71"/>
      <c r="F396" s="71"/>
      <c r="G396" s="71"/>
      <c r="H396" s="71"/>
    </row>
    <row r="397" spans="1:8" ht="15" hidden="1">
      <c r="A397" s="10"/>
      <c r="B397" s="10"/>
      <c r="C397" s="10"/>
      <c r="D397" s="10"/>
      <c r="E397" s="71"/>
      <c r="F397" s="71"/>
      <c r="G397" s="71"/>
      <c r="H397" s="71"/>
    </row>
    <row r="398" spans="1:8" ht="15" hidden="1">
      <c r="A398" s="10"/>
      <c r="B398" s="10"/>
      <c r="C398" s="10"/>
      <c r="D398" s="10"/>
      <c r="E398" s="71">
        <f>SUM(E296,E299,E301,E308,E313)</f>
        <v>35785</v>
      </c>
      <c r="F398" s="71">
        <f>SUM(F296,F299,F301,F308,F313)</f>
        <v>35785</v>
      </c>
      <c r="G398" s="71">
        <f>SUM(G296,G299,G301,G308,G313)</f>
        <v>26515.4</v>
      </c>
      <c r="H398" s="71" t="e">
        <f>SUM(H296,H299,H301,H308,H313)</f>
        <v>#DIV/0!</v>
      </c>
    </row>
    <row r="399" spans="1:8" ht="15" hidden="1">
      <c r="A399" s="10"/>
      <c r="B399" s="10"/>
      <c r="C399" s="10"/>
      <c r="D399" s="10"/>
      <c r="E399" s="71" t="e">
        <f>SUM(#REF!,#REF!,E63,#REF!,#REF!,#REF!,#REF!,#REF!,#REF!,E244)</f>
        <v>#REF!</v>
      </c>
      <c r="F399" s="71" t="e">
        <f>SUM(#REF!,#REF!,F63,#REF!,#REF!,#REF!,#REF!,#REF!,#REF!,F244)</f>
        <v>#REF!</v>
      </c>
      <c r="G399" s="71" t="e">
        <f>SUM(#REF!,#REF!,G63,#REF!,#REF!,#REF!,#REF!,#REF!,#REF!,G244)</f>
        <v>#REF!</v>
      </c>
      <c r="H399" s="71" t="e">
        <f>SUM(#REF!,#REF!,H63,#REF!,#REF!,#REF!,#REF!,#REF!,#REF!,H244)</f>
        <v>#REF!</v>
      </c>
    </row>
    <row r="400" spans="1:8" ht="15" hidden="1">
      <c r="A400" s="10"/>
      <c r="B400" s="10"/>
      <c r="C400" s="10"/>
      <c r="D400" s="10"/>
      <c r="E400" s="71"/>
      <c r="F400" s="71"/>
      <c r="G400" s="71"/>
      <c r="H400" s="71"/>
    </row>
    <row r="401" spans="1:8" ht="15" hidden="1">
      <c r="A401" s="10"/>
      <c r="B401" s="10"/>
      <c r="C401" s="10"/>
      <c r="D401" s="10"/>
      <c r="E401" s="71" t="e">
        <f>SUM(E398:E400)</f>
        <v>#REF!</v>
      </c>
      <c r="F401" s="71" t="e">
        <f>SUM(F398:F400)</f>
        <v>#REF!</v>
      </c>
      <c r="G401" s="71" t="e">
        <f>SUM(G398:G400)</f>
        <v>#REF!</v>
      </c>
      <c r="H401" s="71" t="e">
        <f>SUM(H398:H400)</f>
        <v>#DIV/0!</v>
      </c>
    </row>
    <row r="402" spans="1:8" ht="15">
      <c r="A402" s="10"/>
      <c r="B402" s="10"/>
      <c r="C402" s="10"/>
      <c r="D402" s="10"/>
      <c r="E402" s="71"/>
      <c r="F402" s="71"/>
      <c r="G402" s="71"/>
      <c r="H402" s="71"/>
    </row>
    <row r="403" spans="1:8" ht="15">
      <c r="A403" s="10"/>
      <c r="B403" s="10"/>
      <c r="C403" s="10"/>
      <c r="D403" s="10"/>
      <c r="E403" s="71"/>
      <c r="F403" s="71"/>
      <c r="G403" s="71"/>
      <c r="H403" s="71"/>
    </row>
    <row r="404" spans="1:8" ht="15">
      <c r="A404" s="10"/>
      <c r="B404" s="10"/>
      <c r="C404" s="10"/>
      <c r="D404" s="10"/>
      <c r="E404" s="71"/>
      <c r="F404" s="71"/>
      <c r="G404" s="71"/>
      <c r="H404" s="71"/>
    </row>
    <row r="405" spans="1:8" ht="15">
      <c r="A405" s="10"/>
      <c r="B405" s="10"/>
      <c r="C405" s="10"/>
      <c r="D405" s="10"/>
      <c r="E405" s="71"/>
      <c r="F405" s="71"/>
      <c r="G405" s="71"/>
      <c r="H405" s="71"/>
    </row>
    <row r="406" spans="1:8" ht="15">
      <c r="A406" s="10"/>
      <c r="B406" s="10"/>
      <c r="C406" s="10"/>
      <c r="D406" s="10"/>
      <c r="E406" s="71"/>
      <c r="F406" s="71"/>
      <c r="G406" s="71"/>
      <c r="H406" s="71"/>
    </row>
    <row r="407" spans="1:8" ht="15">
      <c r="A407" s="10"/>
      <c r="B407" s="10"/>
      <c r="C407" s="10"/>
      <c r="D407" s="10"/>
      <c r="E407" s="71"/>
      <c r="F407" s="71"/>
      <c r="G407" s="71"/>
      <c r="H407" s="71"/>
    </row>
    <row r="408" spans="1:8" ht="15">
      <c r="A408" s="10"/>
      <c r="B408" s="10"/>
      <c r="C408" s="10"/>
      <c r="D408" s="10"/>
      <c r="E408" s="71"/>
      <c r="F408" s="71"/>
      <c r="G408" s="71"/>
      <c r="H408" s="71"/>
    </row>
    <row r="409" spans="1:8" ht="15">
      <c r="A409" s="10"/>
      <c r="B409" s="10"/>
      <c r="C409" s="10"/>
      <c r="D409" s="10"/>
      <c r="E409" s="71"/>
      <c r="F409" s="71"/>
      <c r="G409" s="71"/>
      <c r="H409" s="71"/>
    </row>
    <row r="410" spans="1:8" ht="15">
      <c r="A410" s="10"/>
      <c r="B410" s="10"/>
      <c r="C410" s="10"/>
      <c r="D410" s="10"/>
      <c r="E410" s="71"/>
      <c r="F410" s="71"/>
      <c r="G410" s="71"/>
      <c r="H410" s="71"/>
    </row>
    <row r="411" spans="1:8" ht="15">
      <c r="A411" s="10"/>
      <c r="B411" s="10"/>
      <c r="C411" s="10"/>
      <c r="D411" s="10"/>
      <c r="E411" s="71"/>
      <c r="F411" s="71"/>
      <c r="G411" s="71"/>
      <c r="H411" s="71"/>
    </row>
    <row r="412" spans="1:8" ht="15">
      <c r="A412" s="10"/>
      <c r="B412" s="10"/>
      <c r="C412" s="10"/>
      <c r="D412" s="10"/>
      <c r="E412" s="71"/>
      <c r="F412" s="71"/>
      <c r="G412" s="71"/>
      <c r="H412" s="71"/>
    </row>
    <row r="413" spans="1:8" ht="15">
      <c r="A413" s="10"/>
      <c r="B413" s="10"/>
      <c r="C413" s="10"/>
      <c r="D413" s="10"/>
      <c r="E413" s="71"/>
      <c r="F413" s="71"/>
      <c r="G413" s="71"/>
      <c r="H413" s="71"/>
    </row>
    <row r="414" spans="1:8" ht="15">
      <c r="A414" s="10"/>
      <c r="B414" s="10"/>
      <c r="C414" s="10"/>
      <c r="D414" s="10"/>
      <c r="E414" s="71"/>
      <c r="F414" s="71"/>
      <c r="G414" s="71"/>
      <c r="H414" s="71"/>
    </row>
    <row r="415" spans="1:8" ht="15">
      <c r="A415" s="10"/>
      <c r="B415" s="10"/>
      <c r="C415" s="10"/>
      <c r="D415" s="10"/>
      <c r="E415" s="71"/>
      <c r="F415" s="71"/>
      <c r="G415" s="71"/>
      <c r="H415" s="71"/>
    </row>
    <row r="416" spans="1:8" ht="15">
      <c r="A416" s="10"/>
      <c r="B416" s="10"/>
      <c r="C416" s="10"/>
      <c r="D416" s="10"/>
      <c r="E416" s="71"/>
      <c r="F416" s="71"/>
      <c r="G416" s="71"/>
      <c r="H416" s="71"/>
    </row>
    <row r="417" spans="1:8" ht="15">
      <c r="A417" s="10"/>
      <c r="B417" s="10"/>
      <c r="C417" s="10"/>
      <c r="D417" s="10"/>
      <c r="E417" s="71"/>
      <c r="F417" s="71"/>
      <c r="G417" s="71"/>
      <c r="H417" s="71"/>
    </row>
    <row r="418" spans="1:8" ht="15">
      <c r="A418" s="10"/>
      <c r="B418" s="10"/>
      <c r="C418" s="10"/>
      <c r="D418" s="10"/>
      <c r="E418" s="71"/>
      <c r="F418" s="71"/>
      <c r="G418" s="71"/>
      <c r="H418" s="71"/>
    </row>
    <row r="419" spans="1:8" ht="15">
      <c r="A419" s="10"/>
      <c r="B419" s="10"/>
      <c r="C419" s="10"/>
      <c r="D419" s="10"/>
      <c r="E419" s="71"/>
      <c r="F419" s="71"/>
      <c r="G419" s="71"/>
      <c r="H419" s="71"/>
    </row>
    <row r="420" spans="1:8" ht="15">
      <c r="A420" s="10"/>
      <c r="B420" s="10"/>
      <c r="C420" s="10"/>
      <c r="D420" s="10"/>
      <c r="E420" s="71"/>
      <c r="F420" s="71"/>
      <c r="G420" s="71"/>
      <c r="H420" s="71"/>
    </row>
    <row r="421" spans="1:8" ht="15">
      <c r="A421" s="10"/>
      <c r="B421" s="10"/>
      <c r="C421" s="10"/>
      <c r="D421" s="10"/>
      <c r="E421" s="71"/>
      <c r="F421" s="71"/>
      <c r="G421" s="71"/>
      <c r="H421" s="71"/>
    </row>
    <row r="422" spans="1:8" ht="15">
      <c r="A422" s="10"/>
      <c r="B422" s="10"/>
      <c r="C422" s="10"/>
      <c r="D422" s="10"/>
      <c r="E422" s="71"/>
      <c r="F422" s="71"/>
      <c r="G422" s="71"/>
      <c r="H422" s="71"/>
    </row>
    <row r="423" spans="1:8" ht="15">
      <c r="A423" s="10"/>
      <c r="B423" s="10"/>
      <c r="C423" s="10"/>
      <c r="D423" s="10"/>
      <c r="E423" s="71"/>
      <c r="F423" s="71"/>
      <c r="G423" s="71"/>
      <c r="H423" s="71"/>
    </row>
    <row r="424" spans="1:8" ht="15">
      <c r="A424" s="10"/>
      <c r="B424" s="10"/>
      <c r="C424" s="10"/>
      <c r="D424" s="10"/>
      <c r="E424" s="71"/>
      <c r="F424" s="71"/>
      <c r="G424" s="71"/>
      <c r="H424" s="71"/>
    </row>
    <row r="425" spans="1:8" ht="15">
      <c r="A425" s="10"/>
      <c r="B425" s="10"/>
      <c r="C425" s="10"/>
      <c r="D425" s="10"/>
      <c r="E425" s="71"/>
      <c r="F425" s="71"/>
      <c r="G425" s="71"/>
      <c r="H425" s="71"/>
    </row>
    <row r="426" spans="1:8" ht="15">
      <c r="A426" s="10"/>
      <c r="B426" s="10"/>
      <c r="C426" s="10"/>
      <c r="D426" s="10"/>
      <c r="E426" s="71"/>
      <c r="F426" s="71"/>
      <c r="G426" s="71"/>
      <c r="H426" s="71"/>
    </row>
    <row r="427" spans="1:8" ht="15">
      <c r="A427" s="10"/>
      <c r="B427" s="10"/>
      <c r="C427" s="10"/>
      <c r="D427" s="10"/>
      <c r="E427" s="71"/>
      <c r="F427" s="71"/>
      <c r="G427" s="71"/>
      <c r="H427" s="71"/>
    </row>
    <row r="428" spans="1:8" ht="15">
      <c r="A428" s="10"/>
      <c r="B428" s="10"/>
      <c r="C428" s="10"/>
      <c r="D428" s="10"/>
      <c r="E428" s="71"/>
      <c r="F428" s="71"/>
      <c r="G428" s="71"/>
      <c r="H428" s="71"/>
    </row>
    <row r="429" spans="1:8" ht="15">
      <c r="A429" s="10"/>
      <c r="B429" s="10"/>
      <c r="C429" s="10"/>
      <c r="D429" s="10"/>
      <c r="E429" s="71"/>
      <c r="F429" s="71"/>
      <c r="G429" s="71"/>
      <c r="H429" s="71"/>
    </row>
    <row r="430" spans="1:8" ht="15">
      <c r="A430" s="10"/>
      <c r="B430" s="10"/>
      <c r="C430" s="10"/>
      <c r="D430" s="10"/>
      <c r="E430" s="71"/>
      <c r="F430" s="71"/>
      <c r="G430" s="71"/>
      <c r="H430" s="71"/>
    </row>
    <row r="431" spans="1:8" ht="15">
      <c r="A431" s="10"/>
      <c r="B431" s="10"/>
      <c r="C431" s="10"/>
      <c r="D431" s="10"/>
      <c r="E431" s="71"/>
      <c r="F431" s="71"/>
      <c r="G431" s="71"/>
      <c r="H431" s="71"/>
    </row>
    <row r="432" spans="1:8" ht="15">
      <c r="A432" s="10"/>
      <c r="B432" s="10"/>
      <c r="C432" s="10"/>
      <c r="D432" s="10"/>
      <c r="E432" s="71"/>
      <c r="F432" s="71"/>
      <c r="G432" s="71"/>
      <c r="H432" s="71"/>
    </row>
    <row r="433" spans="1:8" ht="15">
      <c r="A433" s="10"/>
      <c r="B433" s="10"/>
      <c r="C433" s="10"/>
      <c r="D433" s="10"/>
      <c r="E433" s="71"/>
      <c r="F433" s="71"/>
      <c r="G433" s="71"/>
      <c r="H433" s="71"/>
    </row>
    <row r="434" spans="1:8" ht="15">
      <c r="A434" s="10"/>
      <c r="B434" s="10"/>
      <c r="C434" s="10"/>
      <c r="D434" s="10"/>
      <c r="E434" s="71"/>
      <c r="F434" s="71"/>
      <c r="G434" s="71"/>
      <c r="H434" s="71"/>
    </row>
    <row r="435" spans="1:8" ht="15">
      <c r="A435" s="10"/>
      <c r="B435" s="10"/>
      <c r="C435" s="10"/>
      <c r="D435" s="10"/>
      <c r="E435" s="71"/>
      <c r="F435" s="71"/>
      <c r="G435" s="71"/>
      <c r="H435" s="71"/>
    </row>
    <row r="436" spans="1:8" ht="15">
      <c r="A436" s="10"/>
      <c r="B436" s="10"/>
      <c r="C436" s="10"/>
      <c r="D436" s="10"/>
      <c r="E436" s="71"/>
      <c r="F436" s="71"/>
      <c r="G436" s="71"/>
      <c r="H436" s="71"/>
    </row>
    <row r="437" spans="1:8" ht="15">
      <c r="A437" s="10"/>
      <c r="B437" s="10"/>
      <c r="C437" s="10"/>
      <c r="D437" s="10"/>
      <c r="E437" s="71"/>
      <c r="F437" s="71"/>
      <c r="G437" s="71"/>
      <c r="H437" s="71"/>
    </row>
  </sheetData>
  <sheetProtection/>
  <mergeCells count="2">
    <mergeCell ref="A1:C1"/>
    <mergeCell ref="A3:E3"/>
  </mergeCells>
  <printOptions/>
  <pageMargins left="0.28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54"/>
  <sheetViews>
    <sheetView zoomScale="70" zoomScaleNormal="70" zoomScaleSheetLayoutView="100" zoomScalePageLayoutView="0" workbookViewId="0" topLeftCell="A13">
      <selection activeCell="G14" sqref="G14"/>
    </sheetView>
  </sheetViews>
  <sheetFormatPr defaultColWidth="9.140625" defaultRowHeight="12.75"/>
  <cols>
    <col min="1" max="1" width="8.8515625" style="6" customWidth="1"/>
    <col min="2" max="2" width="10.8515625" style="6" bestFit="1" customWidth="1"/>
    <col min="3" max="3" width="79.7109375" style="6" customWidth="1"/>
    <col min="4" max="4" width="15.7109375" style="6" customWidth="1"/>
    <col min="5" max="6" width="15.8515625" style="6" customWidth="1"/>
    <col min="7" max="7" width="13.28125" style="6" customWidth="1"/>
    <col min="8" max="16384" width="9.140625" style="6" customWidth="1"/>
  </cols>
  <sheetData>
    <row r="1" spans="1:7" ht="21" customHeight="1">
      <c r="A1" s="1" t="s">
        <v>0</v>
      </c>
      <c r="B1" s="2"/>
      <c r="C1" s="3"/>
      <c r="D1" s="4"/>
      <c r="E1" s="5"/>
      <c r="F1" s="5"/>
      <c r="G1" s="5"/>
    </row>
    <row r="2" spans="1:3" ht="15.75" customHeight="1">
      <c r="A2" s="1"/>
      <c r="B2" s="2"/>
      <c r="C2" s="7"/>
    </row>
    <row r="3" spans="1:7" s="11" customFormat="1" ht="24" customHeight="1">
      <c r="A3" s="428" t="s">
        <v>1</v>
      </c>
      <c r="B3" s="428"/>
      <c r="C3" s="428"/>
      <c r="D3" s="8"/>
      <c r="E3" s="9"/>
      <c r="F3" s="9"/>
      <c r="G3" s="9"/>
    </row>
    <row r="4" spans="4:7" s="10" customFormat="1" ht="15.75" customHeight="1" thickBot="1">
      <c r="D4" s="12"/>
      <c r="E4" s="12"/>
      <c r="F4" s="9" t="s">
        <v>2</v>
      </c>
      <c r="G4" s="12"/>
    </row>
    <row r="5" spans="1:7" s="10" customFormat="1" ht="15.75" customHeight="1">
      <c r="A5" s="242" t="s">
        <v>3</v>
      </c>
      <c r="B5" s="243" t="s">
        <v>4</v>
      </c>
      <c r="C5" s="244" t="s">
        <v>5</v>
      </c>
      <c r="D5" s="244" t="s">
        <v>6</v>
      </c>
      <c r="E5" s="244" t="s">
        <v>6</v>
      </c>
      <c r="F5" s="244" t="s">
        <v>7</v>
      </c>
      <c r="G5" s="244" t="s">
        <v>8</v>
      </c>
    </row>
    <row r="6" spans="1:7" s="10" customFormat="1" ht="15.75" customHeight="1" thickBot="1">
      <c r="A6" s="245"/>
      <c r="B6" s="246"/>
      <c r="C6" s="247"/>
      <c r="D6" s="248" t="s">
        <v>9</v>
      </c>
      <c r="E6" s="248" t="s">
        <v>10</v>
      </c>
      <c r="F6" s="248" t="s">
        <v>12</v>
      </c>
      <c r="G6" s="248" t="s">
        <v>13</v>
      </c>
    </row>
    <row r="7" spans="1:7" s="10" customFormat="1" ht="16.5" customHeight="1" thickTop="1">
      <c r="A7" s="13">
        <v>10</v>
      </c>
      <c r="B7" s="14"/>
      <c r="C7" s="15" t="s">
        <v>14</v>
      </c>
      <c r="D7" s="16"/>
      <c r="E7" s="16"/>
      <c r="F7" s="16"/>
      <c r="G7" s="16"/>
    </row>
    <row r="8" spans="1:7" s="10" customFormat="1" ht="15" customHeight="1">
      <c r="A8" s="17"/>
      <c r="B8" s="18"/>
      <c r="C8" s="17"/>
      <c r="D8" s="19"/>
      <c r="E8" s="19"/>
      <c r="F8" s="19"/>
      <c r="G8" s="19"/>
    </row>
    <row r="9" spans="1:7" s="10" customFormat="1" ht="15" customHeight="1">
      <c r="A9" s="17"/>
      <c r="B9" s="20">
        <v>2143</v>
      </c>
      <c r="C9" s="21" t="s">
        <v>15</v>
      </c>
      <c r="D9" s="19">
        <v>12000</v>
      </c>
      <c r="E9" s="19">
        <v>15599.5</v>
      </c>
      <c r="F9" s="19">
        <v>11359.9</v>
      </c>
      <c r="G9" s="254">
        <f aca="true" t="shared" si="0" ref="G9:G33">(F9/E9)*100</f>
        <v>72.82220583993076</v>
      </c>
    </row>
    <row r="10" spans="1:7" s="10" customFormat="1" ht="15">
      <c r="A10" s="21"/>
      <c r="B10" s="20">
        <v>3111</v>
      </c>
      <c r="C10" s="21" t="s">
        <v>16</v>
      </c>
      <c r="D10" s="22">
        <v>6980</v>
      </c>
      <c r="E10" s="22">
        <v>6980</v>
      </c>
      <c r="F10" s="22">
        <v>3480</v>
      </c>
      <c r="G10" s="254">
        <f t="shared" si="0"/>
        <v>49.8567335243553</v>
      </c>
    </row>
    <row r="11" spans="1:7" s="10" customFormat="1" ht="15">
      <c r="A11" s="21"/>
      <c r="B11" s="20">
        <v>3113</v>
      </c>
      <c r="C11" s="21" t="s">
        <v>17</v>
      </c>
      <c r="D11" s="22">
        <v>31120</v>
      </c>
      <c r="E11" s="22">
        <v>32898</v>
      </c>
      <c r="F11" s="22">
        <v>15800.3</v>
      </c>
      <c r="G11" s="254">
        <f t="shared" si="0"/>
        <v>48.02814760775731</v>
      </c>
    </row>
    <row r="12" spans="1:7" s="10" customFormat="1" ht="15">
      <c r="A12" s="21"/>
      <c r="B12" s="20">
        <v>3114</v>
      </c>
      <c r="C12" s="21" t="s">
        <v>18</v>
      </c>
      <c r="D12" s="22">
        <v>150</v>
      </c>
      <c r="E12" s="22">
        <v>150</v>
      </c>
      <c r="F12" s="22">
        <v>129.1</v>
      </c>
      <c r="G12" s="254">
        <f t="shared" si="0"/>
        <v>86.06666666666666</v>
      </c>
    </row>
    <row r="13" spans="1:7" s="10" customFormat="1" ht="15">
      <c r="A13" s="21"/>
      <c r="B13" s="20">
        <v>3231</v>
      </c>
      <c r="C13" s="21" t="s">
        <v>19</v>
      </c>
      <c r="D13" s="22">
        <v>625</v>
      </c>
      <c r="E13" s="22">
        <v>625</v>
      </c>
      <c r="F13" s="22">
        <v>312</v>
      </c>
      <c r="G13" s="254">
        <f t="shared" si="0"/>
        <v>49.919999999999995</v>
      </c>
    </row>
    <row r="14" spans="1:7" s="10" customFormat="1" ht="15">
      <c r="A14" s="21"/>
      <c r="B14" s="20">
        <v>3313</v>
      </c>
      <c r="C14" s="21" t="s">
        <v>20</v>
      </c>
      <c r="D14" s="19">
        <v>1300</v>
      </c>
      <c r="E14" s="19">
        <v>1390.8</v>
      </c>
      <c r="F14" s="19">
        <v>674.8</v>
      </c>
      <c r="G14" s="254">
        <f t="shared" si="0"/>
        <v>48.51883807880357</v>
      </c>
    </row>
    <row r="15" spans="1:7" s="10" customFormat="1" ht="15" hidden="1">
      <c r="A15" s="21"/>
      <c r="B15" s="20">
        <v>3314</v>
      </c>
      <c r="C15" s="21" t="s">
        <v>21</v>
      </c>
      <c r="D15" s="19"/>
      <c r="E15" s="19"/>
      <c r="F15" s="19"/>
      <c r="G15" s="254" t="e">
        <f t="shared" si="0"/>
        <v>#DIV/0!</v>
      </c>
    </row>
    <row r="16" spans="1:7" s="10" customFormat="1" ht="15">
      <c r="A16" s="21"/>
      <c r="B16" s="20">
        <v>3314</v>
      </c>
      <c r="C16" s="21" t="s">
        <v>22</v>
      </c>
      <c r="D16" s="19">
        <f>7010+130</f>
        <v>7140</v>
      </c>
      <c r="E16" s="19">
        <v>7156</v>
      </c>
      <c r="F16" s="19">
        <v>3736</v>
      </c>
      <c r="G16" s="254">
        <f t="shared" si="0"/>
        <v>52.20793739519285</v>
      </c>
    </row>
    <row r="17" spans="1:7" s="10" customFormat="1" ht="13.5" customHeight="1" hidden="1">
      <c r="A17" s="21"/>
      <c r="B17" s="20">
        <v>3315</v>
      </c>
      <c r="C17" s="21" t="s">
        <v>23</v>
      </c>
      <c r="D17" s="19"/>
      <c r="E17" s="19"/>
      <c r="F17" s="19"/>
      <c r="G17" s="254" t="e">
        <f t="shared" si="0"/>
        <v>#DIV/0!</v>
      </c>
    </row>
    <row r="18" spans="1:7" s="10" customFormat="1" ht="15">
      <c r="A18" s="21"/>
      <c r="B18" s="20">
        <v>3315</v>
      </c>
      <c r="C18" s="21" t="s">
        <v>24</v>
      </c>
      <c r="D18" s="19">
        <v>6350</v>
      </c>
      <c r="E18" s="19">
        <v>7064</v>
      </c>
      <c r="F18" s="19">
        <v>3894</v>
      </c>
      <c r="G18" s="254">
        <f t="shared" si="0"/>
        <v>55.12457531143827</v>
      </c>
    </row>
    <row r="19" spans="1:7" s="10" customFormat="1" ht="15" hidden="1">
      <c r="A19" s="21"/>
      <c r="B19" s="20"/>
      <c r="C19" s="21" t="s">
        <v>25</v>
      </c>
      <c r="D19" s="19">
        <v>0</v>
      </c>
      <c r="E19" s="19">
        <v>0</v>
      </c>
      <c r="F19" s="19"/>
      <c r="G19" s="254" t="e">
        <f t="shared" si="0"/>
        <v>#DIV/0!</v>
      </c>
    </row>
    <row r="20" spans="1:7" s="10" customFormat="1" ht="15">
      <c r="A20" s="21"/>
      <c r="B20" s="20"/>
      <c r="C20" s="21" t="s">
        <v>26</v>
      </c>
      <c r="D20" s="19">
        <v>2206</v>
      </c>
      <c r="E20" s="19">
        <v>2206</v>
      </c>
      <c r="F20" s="19">
        <v>1600</v>
      </c>
      <c r="G20" s="254">
        <f t="shared" si="0"/>
        <v>72.52946509519492</v>
      </c>
    </row>
    <row r="21" spans="1:7" s="10" customFormat="1" ht="15">
      <c r="A21" s="21"/>
      <c r="B21" s="20">
        <v>3319</v>
      </c>
      <c r="C21" s="21" t="s">
        <v>27</v>
      </c>
      <c r="D21" s="19">
        <v>500</v>
      </c>
      <c r="E21" s="19">
        <v>1323.2</v>
      </c>
      <c r="F21" s="19">
        <v>562.2</v>
      </c>
      <c r="G21" s="254">
        <f t="shared" si="0"/>
        <v>42.487908101571946</v>
      </c>
    </row>
    <row r="22" spans="1:7" s="10" customFormat="1" ht="15">
      <c r="A22" s="21"/>
      <c r="B22" s="20">
        <v>3322</v>
      </c>
      <c r="C22" s="21" t="s">
        <v>28</v>
      </c>
      <c r="D22" s="19">
        <v>0</v>
      </c>
      <c r="E22" s="19">
        <v>65.9</v>
      </c>
      <c r="F22" s="19">
        <v>45.7</v>
      </c>
      <c r="G22" s="254">
        <f t="shared" si="0"/>
        <v>69.3474962063733</v>
      </c>
    </row>
    <row r="23" spans="1:7" s="10" customFormat="1" ht="15">
      <c r="A23" s="21"/>
      <c r="B23" s="20">
        <v>3326</v>
      </c>
      <c r="C23" s="21" t="s">
        <v>29</v>
      </c>
      <c r="D23" s="19">
        <v>0</v>
      </c>
      <c r="E23" s="19">
        <v>0</v>
      </c>
      <c r="F23" s="19">
        <v>0</v>
      </c>
      <c r="G23" s="254" t="e">
        <f t="shared" si="0"/>
        <v>#DIV/0!</v>
      </c>
    </row>
    <row r="24" spans="1:7" s="10" customFormat="1" ht="15">
      <c r="A24" s="21"/>
      <c r="B24" s="20">
        <v>3330</v>
      </c>
      <c r="C24" s="21" t="s">
        <v>30</v>
      </c>
      <c r="D24" s="19">
        <v>120</v>
      </c>
      <c r="E24" s="19">
        <v>5227</v>
      </c>
      <c r="F24" s="19">
        <v>510</v>
      </c>
      <c r="G24" s="254">
        <f t="shared" si="0"/>
        <v>9.75703080160704</v>
      </c>
    </row>
    <row r="25" spans="1:7" s="10" customFormat="1" ht="15">
      <c r="A25" s="21"/>
      <c r="B25" s="20">
        <v>3349</v>
      </c>
      <c r="C25" s="21" t="s">
        <v>31</v>
      </c>
      <c r="D25" s="19">
        <v>1338</v>
      </c>
      <c r="E25" s="19">
        <v>1375</v>
      </c>
      <c r="F25" s="19">
        <v>642.9</v>
      </c>
      <c r="G25" s="254">
        <f t="shared" si="0"/>
        <v>46.75636363636364</v>
      </c>
    </row>
    <row r="26" spans="1:7" s="10" customFormat="1" ht="15">
      <c r="A26" s="21"/>
      <c r="B26" s="20">
        <v>3392</v>
      </c>
      <c r="C26" s="21" t="s">
        <v>32</v>
      </c>
      <c r="D26" s="19">
        <v>750</v>
      </c>
      <c r="E26" s="19">
        <v>1106</v>
      </c>
      <c r="F26" s="19">
        <v>945.1</v>
      </c>
      <c r="G26" s="254">
        <f t="shared" si="0"/>
        <v>85.45207956600362</v>
      </c>
    </row>
    <row r="27" spans="1:7" s="10" customFormat="1" ht="15">
      <c r="A27" s="21"/>
      <c r="B27" s="20">
        <v>3399</v>
      </c>
      <c r="C27" s="21" t="s">
        <v>33</v>
      </c>
      <c r="D27" s="19">
        <v>3180</v>
      </c>
      <c r="E27" s="19">
        <v>3711.2</v>
      </c>
      <c r="F27" s="19">
        <v>1693.9</v>
      </c>
      <c r="G27" s="254">
        <f t="shared" si="0"/>
        <v>45.642918732485455</v>
      </c>
    </row>
    <row r="28" spans="1:7" s="10" customFormat="1" ht="15">
      <c r="A28" s="21"/>
      <c r="B28" s="20">
        <v>3412</v>
      </c>
      <c r="C28" s="21" t="s">
        <v>34</v>
      </c>
      <c r="D28" s="19">
        <v>14953</v>
      </c>
      <c r="E28" s="19">
        <f>14953+154</f>
        <v>15107</v>
      </c>
      <c r="F28" s="19">
        <v>7315.3</v>
      </c>
      <c r="G28" s="254">
        <f t="shared" si="0"/>
        <v>48.42324750115841</v>
      </c>
    </row>
    <row r="29" spans="1:7" s="10" customFormat="1" ht="15">
      <c r="A29" s="21"/>
      <c r="B29" s="20">
        <v>3412</v>
      </c>
      <c r="C29" s="21" t="s">
        <v>35</v>
      </c>
      <c r="D29" s="19">
        <f>22453-14953</f>
        <v>7500</v>
      </c>
      <c r="E29" s="19">
        <f>22843-15107</f>
        <v>7736</v>
      </c>
      <c r="F29" s="19">
        <f>11797.6-7315.3</f>
        <v>4482.3</v>
      </c>
      <c r="G29" s="254">
        <f t="shared" si="0"/>
        <v>57.940796277145814</v>
      </c>
    </row>
    <row r="30" spans="1:7" s="10" customFormat="1" ht="15">
      <c r="A30" s="21"/>
      <c r="B30" s="20">
        <v>3419</v>
      </c>
      <c r="C30" s="21" t="s">
        <v>36</v>
      </c>
      <c r="D30" s="22">
        <v>10960</v>
      </c>
      <c r="E30" s="22">
        <v>11004</v>
      </c>
      <c r="F30" s="22">
        <v>7004</v>
      </c>
      <c r="G30" s="254">
        <f t="shared" si="0"/>
        <v>63.649581970192656</v>
      </c>
    </row>
    <row r="31" spans="1:7" s="10" customFormat="1" ht="15">
      <c r="A31" s="21"/>
      <c r="B31" s="20">
        <v>3421</v>
      </c>
      <c r="C31" s="21" t="s">
        <v>37</v>
      </c>
      <c r="D31" s="22">
        <v>920</v>
      </c>
      <c r="E31" s="22">
        <v>3730</v>
      </c>
      <c r="F31" s="22">
        <v>2598.5</v>
      </c>
      <c r="G31" s="254">
        <f t="shared" si="0"/>
        <v>69.66487935656836</v>
      </c>
    </row>
    <row r="32" spans="1:7" s="10" customFormat="1" ht="15">
      <c r="A32" s="21"/>
      <c r="B32" s="20">
        <v>3429</v>
      </c>
      <c r="C32" s="21" t="s">
        <v>38</v>
      </c>
      <c r="D32" s="22">
        <v>0</v>
      </c>
      <c r="E32" s="22">
        <v>1582.4</v>
      </c>
      <c r="F32" s="22">
        <v>1379.5</v>
      </c>
      <c r="G32" s="254">
        <f t="shared" si="0"/>
        <v>87.17770475227502</v>
      </c>
    </row>
    <row r="33" spans="1:7" s="10" customFormat="1" ht="15.75" thickBot="1">
      <c r="A33" s="23"/>
      <c r="B33" s="20">
        <v>6223</v>
      </c>
      <c r="C33" s="21" t="s">
        <v>39</v>
      </c>
      <c r="D33" s="19">
        <v>600</v>
      </c>
      <c r="E33" s="19">
        <v>600</v>
      </c>
      <c r="F33" s="19">
        <v>0</v>
      </c>
      <c r="G33" s="254">
        <f t="shared" si="0"/>
        <v>0</v>
      </c>
    </row>
    <row r="34" spans="1:7" s="10" customFormat="1" ht="14.25" customHeight="1" hidden="1" thickBot="1">
      <c r="A34" s="24"/>
      <c r="B34" s="25">
        <v>6409</v>
      </c>
      <c r="C34" s="26" t="s">
        <v>40</v>
      </c>
      <c r="D34" s="27">
        <v>0</v>
      </c>
      <c r="E34" s="27">
        <v>0</v>
      </c>
      <c r="F34" s="27">
        <v>0</v>
      </c>
      <c r="G34" s="255">
        <v>0</v>
      </c>
    </row>
    <row r="35" spans="1:7" s="10" customFormat="1" ht="18.75" customHeight="1" thickBot="1" thickTop="1">
      <c r="A35" s="28"/>
      <c r="B35" s="29"/>
      <c r="C35" s="30" t="s">
        <v>41</v>
      </c>
      <c r="D35" s="31">
        <f>SUM(D9:D34)</f>
        <v>108692</v>
      </c>
      <c r="E35" s="31">
        <f>SUM(E9:E34)</f>
        <v>126636.99999999999</v>
      </c>
      <c r="F35" s="31">
        <f>SUM(F9:F34)</f>
        <v>68165.5</v>
      </c>
      <c r="G35" s="256">
        <f>(F35/E35)*100</f>
        <v>53.8274753823922</v>
      </c>
    </row>
    <row r="36" spans="1:7" s="10" customFormat="1" ht="15.75" customHeight="1">
      <c r="A36" s="32"/>
      <c r="B36" s="33"/>
      <c r="C36" s="34"/>
      <c r="D36" s="35"/>
      <c r="E36" s="35"/>
      <c r="F36" s="35"/>
      <c r="G36" s="257"/>
    </row>
    <row r="37" spans="1:7" s="10" customFormat="1" ht="18.75" customHeight="1" hidden="1">
      <c r="A37" s="32"/>
      <c r="B37" s="33"/>
      <c r="C37" s="34"/>
      <c r="D37" s="35"/>
      <c r="E37" s="35"/>
      <c r="F37" s="35"/>
      <c r="G37" s="257"/>
    </row>
    <row r="38" spans="1:7" s="10" customFormat="1" ht="18.75" customHeight="1" hidden="1">
      <c r="A38" s="32"/>
      <c r="B38" s="33"/>
      <c r="C38" s="34"/>
      <c r="D38" s="35"/>
      <c r="E38" s="35"/>
      <c r="F38" s="35"/>
      <c r="G38" s="257"/>
    </row>
    <row r="39" spans="1:7" s="10" customFormat="1" ht="15.75" customHeight="1">
      <c r="A39" s="32"/>
      <c r="B39" s="33"/>
      <c r="C39" s="34"/>
      <c r="D39" s="35"/>
      <c r="E39" s="35"/>
      <c r="F39" s="35"/>
      <c r="G39" s="257"/>
    </row>
    <row r="40" spans="1:7" s="10" customFormat="1" ht="15.75" customHeight="1">
      <c r="A40" s="32"/>
      <c r="B40" s="33"/>
      <c r="C40" s="34"/>
      <c r="D40" s="36"/>
      <c r="E40" s="36"/>
      <c r="F40" s="36"/>
      <c r="G40" s="257"/>
    </row>
    <row r="41" spans="1:7" s="10" customFormat="1" ht="12.75" customHeight="1" hidden="1">
      <c r="A41" s="32"/>
      <c r="B41" s="33"/>
      <c r="C41" s="34"/>
      <c r="D41" s="36"/>
      <c r="E41" s="36"/>
      <c r="F41" s="36"/>
      <c r="G41" s="257"/>
    </row>
    <row r="42" spans="1:7" s="10" customFormat="1" ht="12.75" customHeight="1" hidden="1">
      <c r="A42" s="32"/>
      <c r="B42" s="33"/>
      <c r="C42" s="34"/>
      <c r="D42" s="36"/>
      <c r="E42" s="36"/>
      <c r="F42" s="36"/>
      <c r="G42" s="257"/>
    </row>
    <row r="43" spans="2:7" s="10" customFormat="1" ht="15.75" customHeight="1" thickBot="1">
      <c r="B43" s="37"/>
      <c r="G43" s="241"/>
    </row>
    <row r="44" spans="1:7" s="10" customFormat="1" ht="15.75">
      <c r="A44" s="242" t="s">
        <v>3</v>
      </c>
      <c r="B44" s="243" t="s">
        <v>4</v>
      </c>
      <c r="C44" s="244" t="s">
        <v>5</v>
      </c>
      <c r="D44" s="244" t="s">
        <v>6</v>
      </c>
      <c r="E44" s="244" t="s">
        <v>6</v>
      </c>
      <c r="F44" s="244" t="s">
        <v>7</v>
      </c>
      <c r="G44" s="258" t="s">
        <v>8</v>
      </c>
    </row>
    <row r="45" spans="1:7" s="10" customFormat="1" ht="15.75" customHeight="1" thickBot="1">
      <c r="A45" s="245"/>
      <c r="B45" s="246"/>
      <c r="C45" s="247"/>
      <c r="D45" s="248" t="s">
        <v>9</v>
      </c>
      <c r="E45" s="248" t="s">
        <v>10</v>
      </c>
      <c r="F45" s="248" t="s">
        <v>12</v>
      </c>
      <c r="G45" s="259" t="s">
        <v>13</v>
      </c>
    </row>
    <row r="46" spans="1:7" s="10" customFormat="1" ht="16.5" customHeight="1" thickTop="1">
      <c r="A46" s="13">
        <v>20</v>
      </c>
      <c r="B46" s="14"/>
      <c r="C46" s="15" t="s">
        <v>42</v>
      </c>
      <c r="D46" s="38"/>
      <c r="E46" s="38"/>
      <c r="F46" s="38"/>
      <c r="G46" s="260"/>
    </row>
    <row r="47" spans="1:7" s="10" customFormat="1" ht="15" customHeight="1">
      <c r="A47" s="17"/>
      <c r="B47" s="18"/>
      <c r="C47" s="39"/>
      <c r="D47" s="19"/>
      <c r="E47" s="19"/>
      <c r="F47" s="19"/>
      <c r="G47" s="254"/>
    </row>
    <row r="48" spans="1:7" s="10" customFormat="1" ht="15">
      <c r="A48" s="21"/>
      <c r="B48" s="20">
        <v>2143</v>
      </c>
      <c r="C48" s="40" t="s">
        <v>43</v>
      </c>
      <c r="D48" s="82">
        <v>0</v>
      </c>
      <c r="E48" s="82">
        <v>100</v>
      </c>
      <c r="F48" s="82">
        <v>59.8</v>
      </c>
      <c r="G48" s="254">
        <f>(F48/E48)*100</f>
        <v>59.8</v>
      </c>
    </row>
    <row r="49" spans="1:7" s="10" customFormat="1" ht="15" customHeight="1" hidden="1">
      <c r="A49" s="21"/>
      <c r="B49" s="20">
        <v>2229</v>
      </c>
      <c r="C49" s="40" t="s">
        <v>44</v>
      </c>
      <c r="D49" s="82">
        <v>0</v>
      </c>
      <c r="E49" s="82">
        <v>0</v>
      </c>
      <c r="F49" s="82">
        <v>0</v>
      </c>
      <c r="G49" s="254" t="e">
        <f>(#REF!/E49)*100</f>
        <v>#REF!</v>
      </c>
    </row>
    <row r="50" spans="1:7" s="10" customFormat="1" ht="15">
      <c r="A50" s="21"/>
      <c r="B50" s="20">
        <v>2212</v>
      </c>
      <c r="C50" s="40" t="s">
        <v>45</v>
      </c>
      <c r="D50" s="82">
        <v>1200</v>
      </c>
      <c r="E50" s="82">
        <v>442</v>
      </c>
      <c r="F50" s="82">
        <v>0</v>
      </c>
      <c r="G50" s="254">
        <f aca="true" t="shared" si="1" ref="G50:G61">(F50/E50)*100</f>
        <v>0</v>
      </c>
    </row>
    <row r="51" spans="1:7" s="10" customFormat="1" ht="15" hidden="1">
      <c r="A51" s="21"/>
      <c r="B51" s="20">
        <v>2310</v>
      </c>
      <c r="C51" s="40" t="s">
        <v>46</v>
      </c>
      <c r="D51" s="82">
        <v>0</v>
      </c>
      <c r="E51" s="82">
        <v>0</v>
      </c>
      <c r="F51" s="82"/>
      <c r="G51" s="254" t="e">
        <f t="shared" si="1"/>
        <v>#DIV/0!</v>
      </c>
    </row>
    <row r="52" spans="1:7" s="10" customFormat="1" ht="15">
      <c r="A52" s="21"/>
      <c r="B52" s="20">
        <v>2321</v>
      </c>
      <c r="C52" s="40" t="s">
        <v>47</v>
      </c>
      <c r="D52" s="82">
        <v>500</v>
      </c>
      <c r="E52" s="82">
        <v>258</v>
      </c>
      <c r="F52" s="82">
        <v>57.2</v>
      </c>
      <c r="G52" s="254">
        <f t="shared" si="1"/>
        <v>22.170542635658915</v>
      </c>
    </row>
    <row r="53" spans="1:7" s="10" customFormat="1" ht="15">
      <c r="A53" s="21"/>
      <c r="B53" s="20">
        <v>3322</v>
      </c>
      <c r="C53" s="41" t="s">
        <v>48</v>
      </c>
      <c r="D53" s="82">
        <v>300</v>
      </c>
      <c r="E53" s="82">
        <v>63</v>
      </c>
      <c r="F53" s="82">
        <v>0</v>
      </c>
      <c r="G53" s="254">
        <f t="shared" si="1"/>
        <v>0</v>
      </c>
    </row>
    <row r="54" spans="1:7" s="10" customFormat="1" ht="15">
      <c r="A54" s="21"/>
      <c r="B54" s="20">
        <v>3635</v>
      </c>
      <c r="C54" s="41" t="s">
        <v>49</v>
      </c>
      <c r="D54" s="82">
        <v>500</v>
      </c>
      <c r="E54" s="82">
        <v>560</v>
      </c>
      <c r="F54" s="82">
        <v>402.5</v>
      </c>
      <c r="G54" s="254">
        <f t="shared" si="1"/>
        <v>71.875</v>
      </c>
    </row>
    <row r="55" spans="1:7" s="10" customFormat="1" ht="15">
      <c r="A55" s="21"/>
      <c r="B55" s="20">
        <v>3636</v>
      </c>
      <c r="C55" s="41" t="s">
        <v>50</v>
      </c>
      <c r="D55" s="82">
        <v>600</v>
      </c>
      <c r="E55" s="82">
        <v>600</v>
      </c>
      <c r="F55" s="82">
        <v>288</v>
      </c>
      <c r="G55" s="254">
        <f t="shared" si="1"/>
        <v>48</v>
      </c>
    </row>
    <row r="56" spans="1:7" s="42" customFormat="1" ht="15.75">
      <c r="A56" s="21">
        <v>434902</v>
      </c>
      <c r="B56" s="20">
        <v>4349</v>
      </c>
      <c r="C56" s="40" t="s">
        <v>51</v>
      </c>
      <c r="D56" s="110">
        <v>300</v>
      </c>
      <c r="E56" s="110">
        <v>300</v>
      </c>
      <c r="F56" s="110">
        <v>0</v>
      </c>
      <c r="G56" s="254">
        <f t="shared" si="1"/>
        <v>0</v>
      </c>
    </row>
    <row r="57" spans="1:7" s="42" customFormat="1" ht="15.75" hidden="1">
      <c r="A57" s="21">
        <v>434902</v>
      </c>
      <c r="B57" s="20">
        <v>4349</v>
      </c>
      <c r="C57" s="40" t="s">
        <v>52</v>
      </c>
      <c r="D57" s="110">
        <v>0</v>
      </c>
      <c r="E57" s="110">
        <v>0</v>
      </c>
      <c r="F57" s="110"/>
      <c r="G57" s="254" t="e">
        <f t="shared" si="1"/>
        <v>#DIV/0!</v>
      </c>
    </row>
    <row r="58" spans="1:7" s="10" customFormat="1" ht="15">
      <c r="A58" s="43"/>
      <c r="B58" s="20">
        <v>6223</v>
      </c>
      <c r="C58" s="41" t="s">
        <v>53</v>
      </c>
      <c r="D58" s="110">
        <v>1000</v>
      </c>
      <c r="E58" s="110">
        <v>247</v>
      </c>
      <c r="F58" s="110">
        <v>200</v>
      </c>
      <c r="G58" s="254">
        <f t="shared" si="1"/>
        <v>80.97165991902834</v>
      </c>
    </row>
    <row r="59" spans="1:7" s="10" customFormat="1" ht="15">
      <c r="A59" s="43"/>
      <c r="B59" s="20">
        <v>6409</v>
      </c>
      <c r="C59" s="41" t="s">
        <v>54</v>
      </c>
      <c r="D59" s="110">
        <v>1000</v>
      </c>
      <c r="E59" s="110">
        <v>8953</v>
      </c>
      <c r="F59" s="110">
        <v>0</v>
      </c>
      <c r="G59" s="254">
        <f t="shared" si="1"/>
        <v>0</v>
      </c>
    </row>
    <row r="60" spans="1:7" s="10" customFormat="1" ht="15" hidden="1">
      <c r="A60" s="43">
        <v>6409</v>
      </c>
      <c r="B60" s="20">
        <v>6409</v>
      </c>
      <c r="C60" s="41" t="s">
        <v>55</v>
      </c>
      <c r="D60" s="110">
        <v>0</v>
      </c>
      <c r="E60" s="110">
        <v>0</v>
      </c>
      <c r="F60" s="110"/>
      <c r="G60" s="254" t="e">
        <f t="shared" si="1"/>
        <v>#DIV/0!</v>
      </c>
    </row>
    <row r="61" spans="1:7" s="42" customFormat="1" ht="15.75">
      <c r="A61" s="15"/>
      <c r="B61" s="18"/>
      <c r="C61" s="44" t="s">
        <v>56</v>
      </c>
      <c r="D61" s="45">
        <f>SUM(D48:D60)</f>
        <v>5400</v>
      </c>
      <c r="E61" s="45">
        <f>SUM(E48:E60)</f>
        <v>11523</v>
      </c>
      <c r="F61" s="45">
        <f>SUM(F48:F60)</f>
        <v>1007.5</v>
      </c>
      <c r="G61" s="254">
        <f t="shared" si="1"/>
        <v>8.743382799618155</v>
      </c>
    </row>
    <row r="62" spans="1:7" s="42" customFormat="1" ht="7.5" customHeight="1" hidden="1">
      <c r="A62" s="46"/>
      <c r="B62" s="47"/>
      <c r="C62" s="39"/>
      <c r="D62" s="48"/>
      <c r="E62" s="48"/>
      <c r="F62" s="48"/>
      <c r="G62" s="261"/>
    </row>
    <row r="63" spans="1:7" s="42" customFormat="1" ht="17.25" customHeight="1" hidden="1">
      <c r="A63" s="34"/>
      <c r="B63" s="49"/>
      <c r="C63" s="34"/>
      <c r="D63" s="36"/>
      <c r="E63" s="36"/>
      <c r="F63" s="36"/>
      <c r="G63" s="257"/>
    </row>
    <row r="64" spans="1:7" s="42" customFormat="1" ht="17.25" customHeight="1" hidden="1">
      <c r="A64" s="34"/>
      <c r="B64" s="49"/>
      <c r="C64" s="34"/>
      <c r="D64" s="36"/>
      <c r="E64" s="5"/>
      <c r="F64" s="5"/>
      <c r="G64" s="262"/>
    </row>
    <row r="65" spans="1:7" s="42" customFormat="1" ht="17.25" customHeight="1" hidden="1">
      <c r="A65" s="34"/>
      <c r="B65" s="49"/>
      <c r="C65" s="34"/>
      <c r="D65" s="36"/>
      <c r="E65" s="5"/>
      <c r="F65" s="5"/>
      <c r="G65" s="262"/>
    </row>
    <row r="66" spans="1:7" s="42" customFormat="1" ht="17.25" customHeight="1" hidden="1">
      <c r="A66" s="34"/>
      <c r="B66" s="49"/>
      <c r="C66" s="34"/>
      <c r="D66" s="36"/>
      <c r="E66" s="5"/>
      <c r="F66" s="5"/>
      <c r="G66" s="262"/>
    </row>
    <row r="67" spans="1:7" s="42" customFormat="1" ht="17.25" customHeight="1" hidden="1">
      <c r="A67" s="34"/>
      <c r="B67" s="49"/>
      <c r="C67" s="34"/>
      <c r="D67" s="36"/>
      <c r="E67" s="5"/>
      <c r="F67" s="5"/>
      <c r="G67" s="262"/>
    </row>
    <row r="68" spans="1:7" s="42" customFormat="1" ht="17.25" customHeight="1" hidden="1" thickBot="1">
      <c r="A68" s="34"/>
      <c r="B68" s="49"/>
      <c r="C68" s="34"/>
      <c r="D68" s="36"/>
      <c r="E68" s="9"/>
      <c r="F68" s="9"/>
      <c r="G68" s="263" t="s">
        <v>2</v>
      </c>
    </row>
    <row r="69" spans="1:7" s="42" customFormat="1" ht="17.25" customHeight="1" hidden="1">
      <c r="A69" s="34"/>
      <c r="B69" s="49"/>
      <c r="C69" s="34"/>
      <c r="D69" s="36"/>
      <c r="E69" s="5"/>
      <c r="F69" s="5"/>
      <c r="G69" s="262"/>
    </row>
    <row r="70" spans="1:7" s="42" customFormat="1" ht="16.5" customHeight="1" hidden="1" thickBot="1">
      <c r="A70" s="34"/>
      <c r="B70" s="49"/>
      <c r="C70" s="34"/>
      <c r="D70" s="36"/>
      <c r="E70" s="36"/>
      <c r="F70" s="36"/>
      <c r="G70" s="257"/>
    </row>
    <row r="71" spans="1:7" s="42" customFormat="1" ht="15.75" customHeight="1" hidden="1">
      <c r="A71" s="242" t="s">
        <v>3</v>
      </c>
      <c r="B71" s="243" t="s">
        <v>4</v>
      </c>
      <c r="C71" s="244" t="s">
        <v>5</v>
      </c>
      <c r="D71" s="244" t="s">
        <v>6</v>
      </c>
      <c r="E71" s="244" t="s">
        <v>6</v>
      </c>
      <c r="F71" s="244" t="s">
        <v>7</v>
      </c>
      <c r="G71" s="258" t="s">
        <v>8</v>
      </c>
    </row>
    <row r="72" spans="1:7" s="42" customFormat="1" ht="15.75" customHeight="1" hidden="1" thickBot="1">
      <c r="A72" s="245"/>
      <c r="B72" s="246"/>
      <c r="C72" s="247"/>
      <c r="D72" s="248" t="s">
        <v>9</v>
      </c>
      <c r="E72" s="248" t="s">
        <v>10</v>
      </c>
      <c r="F72" s="248" t="s">
        <v>11</v>
      </c>
      <c r="G72" s="259" t="s">
        <v>13</v>
      </c>
    </row>
    <row r="73" spans="1:7" s="42" customFormat="1" ht="15.75">
      <c r="A73" s="21"/>
      <c r="B73" s="20"/>
      <c r="C73" s="50"/>
      <c r="D73" s="19"/>
      <c r="E73" s="19"/>
      <c r="F73" s="19"/>
      <c r="G73" s="254"/>
    </row>
    <row r="74" spans="1:7" s="42" customFormat="1" ht="15.75">
      <c r="A74" s="21"/>
      <c r="B74" s="20"/>
      <c r="C74" s="50" t="s">
        <v>57</v>
      </c>
      <c r="D74" s="19"/>
      <c r="E74" s="19"/>
      <c r="F74" s="19"/>
      <c r="G74" s="254"/>
    </row>
    <row r="75" spans="1:7" s="42" customFormat="1" ht="14.25" customHeight="1">
      <c r="A75" s="21"/>
      <c r="B75" s="20"/>
      <c r="C75" s="40"/>
      <c r="D75" s="51"/>
      <c r="E75" s="51"/>
      <c r="F75" s="51"/>
      <c r="G75" s="254"/>
    </row>
    <row r="76" spans="1:7" s="42" customFormat="1" ht="15.75">
      <c r="A76" s="21">
        <v>71004</v>
      </c>
      <c r="B76" s="20">
        <v>2143</v>
      </c>
      <c r="C76" s="40" t="s">
        <v>58</v>
      </c>
      <c r="D76" s="19">
        <v>0</v>
      </c>
      <c r="E76" s="19">
        <v>179</v>
      </c>
      <c r="F76" s="19">
        <v>178.1</v>
      </c>
      <c r="G76" s="254">
        <f aca="true" t="shared" si="2" ref="G76:G107">(F76/E76)*100</f>
        <v>99.4972067039106</v>
      </c>
    </row>
    <row r="77" spans="1:7" s="42" customFormat="1" ht="15.75">
      <c r="A77" s="21">
        <v>81023</v>
      </c>
      <c r="B77" s="20">
        <v>2143</v>
      </c>
      <c r="C77" s="40" t="s">
        <v>59</v>
      </c>
      <c r="D77" s="19">
        <v>15000</v>
      </c>
      <c r="E77" s="19">
        <v>17050</v>
      </c>
      <c r="F77" s="19">
        <v>5479.8</v>
      </c>
      <c r="G77" s="254">
        <f t="shared" si="2"/>
        <v>32.13958944281525</v>
      </c>
    </row>
    <row r="78" spans="1:7" s="42" customFormat="1" ht="15.75">
      <c r="A78" s="21">
        <v>61005</v>
      </c>
      <c r="B78" s="20">
        <v>2212</v>
      </c>
      <c r="C78" s="52" t="s">
        <v>60</v>
      </c>
      <c r="D78" s="19">
        <v>0</v>
      </c>
      <c r="E78" s="19">
        <v>2700</v>
      </c>
      <c r="F78" s="19">
        <v>127.8</v>
      </c>
      <c r="G78" s="254">
        <f t="shared" si="2"/>
        <v>4.733333333333333</v>
      </c>
    </row>
    <row r="79" spans="1:7" s="42" customFormat="1" ht="15.75">
      <c r="A79" s="21">
        <v>61006</v>
      </c>
      <c r="B79" s="20">
        <v>2212</v>
      </c>
      <c r="C79" s="40" t="s">
        <v>61</v>
      </c>
      <c r="D79" s="19">
        <v>2500</v>
      </c>
      <c r="E79" s="19">
        <v>3760</v>
      </c>
      <c r="F79" s="19">
        <v>4068.9</v>
      </c>
      <c r="G79" s="254">
        <f t="shared" si="2"/>
        <v>108.2154255319149</v>
      </c>
    </row>
    <row r="80" spans="1:7" s="42" customFormat="1" ht="15.75">
      <c r="A80" s="21">
        <v>81006</v>
      </c>
      <c r="B80" s="20">
        <v>2212</v>
      </c>
      <c r="C80" s="40" t="s">
        <v>62</v>
      </c>
      <c r="D80" s="19">
        <v>12000</v>
      </c>
      <c r="E80" s="19">
        <v>13200</v>
      </c>
      <c r="F80" s="19">
        <v>9570.8</v>
      </c>
      <c r="G80" s="254">
        <f t="shared" si="2"/>
        <v>72.5060606060606</v>
      </c>
    </row>
    <row r="81" spans="1:7" s="42" customFormat="1" ht="15.75">
      <c r="A81" s="21">
        <v>81007</v>
      </c>
      <c r="B81" s="20">
        <v>2212</v>
      </c>
      <c r="C81" s="40" t="s">
        <v>63</v>
      </c>
      <c r="D81" s="19">
        <v>10000</v>
      </c>
      <c r="E81" s="19">
        <v>0</v>
      </c>
      <c r="F81" s="19">
        <v>0</v>
      </c>
      <c r="G81" s="254" t="e">
        <f t="shared" si="2"/>
        <v>#DIV/0!</v>
      </c>
    </row>
    <row r="82" spans="1:7" s="42" customFormat="1" ht="15.75">
      <c r="A82" s="21">
        <v>91015</v>
      </c>
      <c r="B82" s="20">
        <v>2212</v>
      </c>
      <c r="C82" s="52" t="s">
        <v>64</v>
      </c>
      <c r="D82" s="19">
        <v>0</v>
      </c>
      <c r="E82" s="19">
        <v>13153</v>
      </c>
      <c r="F82" s="19">
        <v>62.8</v>
      </c>
      <c r="G82" s="254">
        <f t="shared" si="2"/>
        <v>0.47745761423249444</v>
      </c>
    </row>
    <row r="83" spans="1:7" s="42" customFormat="1" ht="15.75">
      <c r="A83" s="21">
        <v>91017</v>
      </c>
      <c r="B83" s="20">
        <v>2212</v>
      </c>
      <c r="C83" s="40" t="s">
        <v>65</v>
      </c>
      <c r="D83" s="19">
        <v>0</v>
      </c>
      <c r="E83" s="19">
        <v>816</v>
      </c>
      <c r="F83" s="19">
        <v>758.3</v>
      </c>
      <c r="G83" s="254">
        <f t="shared" si="2"/>
        <v>92.92892156862744</v>
      </c>
    </row>
    <row r="84" spans="1:7" s="42" customFormat="1" ht="15.75">
      <c r="A84" s="21"/>
      <c r="B84" s="20">
        <v>2212</v>
      </c>
      <c r="C84" s="40" t="s">
        <v>66</v>
      </c>
      <c r="D84" s="19">
        <v>0</v>
      </c>
      <c r="E84" s="19">
        <v>1781</v>
      </c>
      <c r="F84" s="19">
        <v>1780.8</v>
      </c>
      <c r="G84" s="254">
        <f t="shared" si="2"/>
        <v>99.98877035373386</v>
      </c>
    </row>
    <row r="85" spans="1:7" s="42" customFormat="1" ht="15.75">
      <c r="A85" s="21">
        <v>10002</v>
      </c>
      <c r="B85" s="20">
        <v>2219</v>
      </c>
      <c r="C85" s="40" t="s">
        <v>67</v>
      </c>
      <c r="D85" s="19">
        <v>7500</v>
      </c>
      <c r="E85" s="19">
        <v>7500</v>
      </c>
      <c r="F85" s="19">
        <v>149.2</v>
      </c>
      <c r="G85" s="254">
        <f t="shared" si="2"/>
        <v>1.9893333333333332</v>
      </c>
    </row>
    <row r="86" spans="1:7" s="42" customFormat="1" ht="15.75">
      <c r="A86" s="21">
        <v>71002</v>
      </c>
      <c r="B86" s="20">
        <v>2219</v>
      </c>
      <c r="C86" s="40" t="s">
        <v>68</v>
      </c>
      <c r="D86" s="19">
        <v>0</v>
      </c>
      <c r="E86" s="19">
        <v>84</v>
      </c>
      <c r="F86" s="19">
        <v>12</v>
      </c>
      <c r="G86" s="254">
        <f t="shared" si="2"/>
        <v>14.285714285714285</v>
      </c>
    </row>
    <row r="87" spans="1:7" s="42" customFormat="1" ht="15.75">
      <c r="A87" s="21">
        <v>71010</v>
      </c>
      <c r="B87" s="20">
        <v>2219</v>
      </c>
      <c r="C87" s="40" t="s">
        <v>69</v>
      </c>
      <c r="D87" s="19">
        <v>0</v>
      </c>
      <c r="E87" s="19">
        <v>5000</v>
      </c>
      <c r="F87" s="19">
        <v>37.2</v>
      </c>
      <c r="G87" s="254">
        <f t="shared" si="2"/>
        <v>0.744</v>
      </c>
    </row>
    <row r="88" spans="1:7" s="42" customFormat="1" ht="15.75">
      <c r="A88" s="21">
        <v>71011</v>
      </c>
      <c r="B88" s="20">
        <v>2219</v>
      </c>
      <c r="C88" s="40" t="s">
        <v>70</v>
      </c>
      <c r="D88" s="19">
        <v>6000</v>
      </c>
      <c r="E88" s="19">
        <v>7900</v>
      </c>
      <c r="F88" s="19">
        <v>7852.7</v>
      </c>
      <c r="G88" s="254">
        <f t="shared" si="2"/>
        <v>99.40126582278481</v>
      </c>
    </row>
    <row r="89" spans="1:7" s="42" customFormat="1" ht="18" customHeight="1">
      <c r="A89" s="21">
        <v>91005</v>
      </c>
      <c r="B89" s="20">
        <v>2219</v>
      </c>
      <c r="C89" s="53" t="s">
        <v>71</v>
      </c>
      <c r="D89" s="19">
        <v>0</v>
      </c>
      <c r="E89" s="19">
        <v>9000</v>
      </c>
      <c r="F89" s="19">
        <v>67.3</v>
      </c>
      <c r="G89" s="254">
        <f t="shared" si="2"/>
        <v>0.7477777777777778</v>
      </c>
    </row>
    <row r="90" spans="1:7" s="42" customFormat="1" ht="18" customHeight="1">
      <c r="A90" s="21">
        <v>91008</v>
      </c>
      <c r="B90" s="20">
        <v>2219</v>
      </c>
      <c r="C90" s="54" t="s">
        <v>72</v>
      </c>
      <c r="D90" s="19">
        <v>0</v>
      </c>
      <c r="E90" s="19">
        <v>600</v>
      </c>
      <c r="F90" s="19">
        <v>250</v>
      </c>
      <c r="G90" s="254">
        <f t="shared" si="2"/>
        <v>41.66666666666667</v>
      </c>
    </row>
    <row r="91" spans="1:7" s="42" customFormat="1" ht="15.75">
      <c r="A91" s="55">
        <v>71007</v>
      </c>
      <c r="B91" s="56">
        <v>2221</v>
      </c>
      <c r="C91" s="57" t="s">
        <v>73</v>
      </c>
      <c r="D91" s="19">
        <v>0</v>
      </c>
      <c r="E91" s="19">
        <v>1085</v>
      </c>
      <c r="F91" s="19">
        <v>0</v>
      </c>
      <c r="G91" s="254">
        <f t="shared" si="2"/>
        <v>0</v>
      </c>
    </row>
    <row r="92" spans="1:7" s="42" customFormat="1" ht="15.75">
      <c r="A92" s="21">
        <v>91018</v>
      </c>
      <c r="B92" s="20">
        <v>3111</v>
      </c>
      <c r="C92" s="40" t="s">
        <v>74</v>
      </c>
      <c r="D92" s="19">
        <v>0</v>
      </c>
      <c r="E92" s="19">
        <f>1160+27</f>
        <v>1187</v>
      </c>
      <c r="F92" s="19">
        <v>1186.8</v>
      </c>
      <c r="G92" s="254">
        <f t="shared" si="2"/>
        <v>99.98315080033699</v>
      </c>
    </row>
    <row r="93" spans="1:7" s="42" customFormat="1" ht="15.75">
      <c r="A93" s="21">
        <v>91020</v>
      </c>
      <c r="B93" s="20">
        <v>3111</v>
      </c>
      <c r="C93" s="40" t="s">
        <v>75</v>
      </c>
      <c r="D93" s="19">
        <v>0</v>
      </c>
      <c r="E93" s="19">
        <v>2880</v>
      </c>
      <c r="F93" s="19">
        <v>2879.3</v>
      </c>
      <c r="G93" s="254">
        <f t="shared" si="2"/>
        <v>99.97569444444446</v>
      </c>
    </row>
    <row r="94" spans="1:7" s="42" customFormat="1" ht="15.75">
      <c r="A94" s="21">
        <v>91021</v>
      </c>
      <c r="B94" s="20">
        <v>3111</v>
      </c>
      <c r="C94" s="40" t="s">
        <v>76</v>
      </c>
      <c r="D94" s="19">
        <v>0</v>
      </c>
      <c r="E94" s="19">
        <v>2714</v>
      </c>
      <c r="F94" s="19">
        <v>2686.9</v>
      </c>
      <c r="G94" s="254">
        <f t="shared" si="2"/>
        <v>99.00147383935152</v>
      </c>
    </row>
    <row r="95" spans="1:7" s="42" customFormat="1" ht="15.75">
      <c r="A95" s="21">
        <v>71005</v>
      </c>
      <c r="B95" s="20">
        <v>3113</v>
      </c>
      <c r="C95" s="40" t="s">
        <v>77</v>
      </c>
      <c r="D95" s="19">
        <v>0</v>
      </c>
      <c r="E95" s="19">
        <v>6</v>
      </c>
      <c r="F95" s="19">
        <v>6</v>
      </c>
      <c r="G95" s="254">
        <f t="shared" si="2"/>
        <v>100</v>
      </c>
    </row>
    <row r="96" spans="1:7" s="42" customFormat="1" ht="15.75">
      <c r="A96" s="21">
        <v>81015</v>
      </c>
      <c r="B96" s="20">
        <v>3113</v>
      </c>
      <c r="C96" s="40" t="s">
        <v>78</v>
      </c>
      <c r="D96" s="19">
        <v>0</v>
      </c>
      <c r="E96" s="19">
        <v>119</v>
      </c>
      <c r="F96" s="19">
        <v>0</v>
      </c>
      <c r="G96" s="254">
        <f t="shared" si="2"/>
        <v>0</v>
      </c>
    </row>
    <row r="97" spans="1:7" s="42" customFormat="1" ht="15.75">
      <c r="A97" s="21">
        <v>81018</v>
      </c>
      <c r="B97" s="20">
        <v>3113</v>
      </c>
      <c r="C97" s="40" t="s">
        <v>79</v>
      </c>
      <c r="D97" s="19">
        <v>0</v>
      </c>
      <c r="E97" s="19">
        <v>200</v>
      </c>
      <c r="F97" s="19">
        <v>187.2</v>
      </c>
      <c r="G97" s="254">
        <f t="shared" si="2"/>
        <v>93.6</v>
      </c>
    </row>
    <row r="98" spans="1:7" s="42" customFormat="1" ht="15.75">
      <c r="A98" s="21">
        <v>91006</v>
      </c>
      <c r="B98" s="20">
        <v>3113</v>
      </c>
      <c r="C98" s="40" t="s">
        <v>80</v>
      </c>
      <c r="D98" s="19">
        <v>0</v>
      </c>
      <c r="E98" s="19">
        <v>6237</v>
      </c>
      <c r="F98" s="19">
        <v>0</v>
      </c>
      <c r="G98" s="254">
        <f t="shared" si="2"/>
        <v>0</v>
      </c>
    </row>
    <row r="99" spans="1:7" s="42" customFormat="1" ht="15.75">
      <c r="A99" s="21">
        <v>91019</v>
      </c>
      <c r="B99" s="20">
        <v>3113</v>
      </c>
      <c r="C99" s="40" t="s">
        <v>81</v>
      </c>
      <c r="D99" s="19">
        <v>0</v>
      </c>
      <c r="E99" s="19">
        <v>920</v>
      </c>
      <c r="F99" s="19">
        <v>688.8</v>
      </c>
      <c r="G99" s="254">
        <f t="shared" si="2"/>
        <v>74.8695652173913</v>
      </c>
    </row>
    <row r="100" spans="1:7" s="42" customFormat="1" ht="15.75">
      <c r="A100" s="21">
        <v>10007</v>
      </c>
      <c r="B100" s="20">
        <v>3314</v>
      </c>
      <c r="C100" s="40" t="s">
        <v>82</v>
      </c>
      <c r="D100" s="19">
        <v>0</v>
      </c>
      <c r="E100" s="19">
        <v>3361</v>
      </c>
      <c r="F100" s="19">
        <v>394</v>
      </c>
      <c r="G100" s="254">
        <f t="shared" si="2"/>
        <v>11.722701576911634</v>
      </c>
    </row>
    <row r="101" spans="1:7" s="42" customFormat="1" ht="15.75">
      <c r="A101" s="21">
        <v>10006</v>
      </c>
      <c r="B101" s="20">
        <v>3322</v>
      </c>
      <c r="C101" s="40" t="s">
        <v>83</v>
      </c>
      <c r="D101" s="19">
        <v>0</v>
      </c>
      <c r="E101" s="19">
        <v>0</v>
      </c>
      <c r="F101" s="19">
        <v>0</v>
      </c>
      <c r="G101" s="254" t="e">
        <f t="shared" si="2"/>
        <v>#DIV/0!</v>
      </c>
    </row>
    <row r="102" spans="1:7" s="42" customFormat="1" ht="15.75">
      <c r="A102" s="21">
        <v>71019</v>
      </c>
      <c r="B102" s="20">
        <v>3322</v>
      </c>
      <c r="C102" s="40" t="s">
        <v>84</v>
      </c>
      <c r="D102" s="19">
        <v>0</v>
      </c>
      <c r="E102" s="19">
        <v>300</v>
      </c>
      <c r="F102" s="19">
        <v>0</v>
      </c>
      <c r="G102" s="254">
        <f t="shared" si="2"/>
        <v>0</v>
      </c>
    </row>
    <row r="103" spans="1:7" s="42" customFormat="1" ht="15.75">
      <c r="A103" s="21">
        <v>81003</v>
      </c>
      <c r="B103" s="20">
        <v>3322</v>
      </c>
      <c r="C103" s="40" t="s">
        <v>85</v>
      </c>
      <c r="D103" s="19">
        <v>0</v>
      </c>
      <c r="E103" s="19">
        <v>5</v>
      </c>
      <c r="F103" s="19">
        <v>3.6</v>
      </c>
      <c r="G103" s="254">
        <f t="shared" si="2"/>
        <v>72</v>
      </c>
    </row>
    <row r="104" spans="1:7" s="42" customFormat="1" ht="15.75">
      <c r="A104" s="21">
        <v>10001</v>
      </c>
      <c r="B104" s="20">
        <v>3326</v>
      </c>
      <c r="C104" s="40" t="s">
        <v>86</v>
      </c>
      <c r="D104" s="19">
        <v>0</v>
      </c>
      <c r="E104" s="19">
        <v>584</v>
      </c>
      <c r="F104" s="19">
        <v>206.3</v>
      </c>
      <c r="G104" s="254">
        <f t="shared" si="2"/>
        <v>35.32534246575343</v>
      </c>
    </row>
    <row r="105" spans="1:7" s="42" customFormat="1" ht="15.75">
      <c r="A105" s="21">
        <v>81019</v>
      </c>
      <c r="B105" s="20">
        <v>3329</v>
      </c>
      <c r="C105" s="40" t="s">
        <v>87</v>
      </c>
      <c r="D105" s="19">
        <v>0</v>
      </c>
      <c r="E105" s="19">
        <v>6000</v>
      </c>
      <c r="F105" s="19">
        <v>0</v>
      </c>
      <c r="G105" s="254">
        <f t="shared" si="2"/>
        <v>0</v>
      </c>
    </row>
    <row r="106" spans="1:7" s="42" customFormat="1" ht="15.75">
      <c r="A106" s="21">
        <v>10003</v>
      </c>
      <c r="B106" s="20">
        <v>3412</v>
      </c>
      <c r="C106" s="40" t="s">
        <v>88</v>
      </c>
      <c r="D106" s="19">
        <v>0</v>
      </c>
      <c r="E106" s="19">
        <v>4000</v>
      </c>
      <c r="F106" s="19">
        <v>2004.8</v>
      </c>
      <c r="G106" s="254">
        <f t="shared" si="2"/>
        <v>50.12</v>
      </c>
    </row>
    <row r="107" spans="1:7" s="42" customFormat="1" ht="15.75" hidden="1">
      <c r="A107" s="32"/>
      <c r="B107" s="33"/>
      <c r="C107" s="32"/>
      <c r="D107" s="58"/>
      <c r="E107" s="249"/>
      <c r="F107" s="249"/>
      <c r="G107" s="254" t="e">
        <f t="shared" si="2"/>
        <v>#DIV/0!</v>
      </c>
    </row>
    <row r="108" spans="1:7" s="42" customFormat="1" ht="15.75" hidden="1">
      <c r="A108" s="59"/>
      <c r="B108" s="60"/>
      <c r="C108" s="59"/>
      <c r="D108" s="61"/>
      <c r="E108" s="250"/>
      <c r="F108" s="250"/>
      <c r="G108" s="254" t="e">
        <f aca="true" t="shared" si="3" ref="G108:G125">(F108/E108)*100</f>
        <v>#DIV/0!</v>
      </c>
    </row>
    <row r="109" spans="1:7" s="42" customFormat="1" ht="15.75">
      <c r="A109" s="59">
        <v>10009</v>
      </c>
      <c r="B109" s="62">
        <v>3412</v>
      </c>
      <c r="C109" s="40" t="s">
        <v>89</v>
      </c>
      <c r="D109" s="63">
        <v>0</v>
      </c>
      <c r="E109" s="251">
        <v>2000</v>
      </c>
      <c r="F109" s="19">
        <v>0</v>
      </c>
      <c r="G109" s="254">
        <f t="shared" si="3"/>
        <v>0</v>
      </c>
    </row>
    <row r="110" spans="1:7" s="42" customFormat="1" ht="15.75">
      <c r="A110" s="21">
        <v>71009</v>
      </c>
      <c r="B110" s="20">
        <v>3412</v>
      </c>
      <c r="C110" s="54" t="s">
        <v>90</v>
      </c>
      <c r="D110" s="19">
        <f>616+7165</f>
        <v>7781</v>
      </c>
      <c r="E110" s="19">
        <f>1424+7165</f>
        <v>8589</v>
      </c>
      <c r="F110" s="19">
        <f>2107.5+6625.7</f>
        <v>8733.2</v>
      </c>
      <c r="G110" s="254">
        <f t="shared" si="3"/>
        <v>101.67889160554198</v>
      </c>
    </row>
    <row r="111" spans="1:7" s="42" customFormat="1" ht="15.75">
      <c r="A111" s="21">
        <v>71009</v>
      </c>
      <c r="B111" s="20">
        <v>3412</v>
      </c>
      <c r="C111" s="54" t="s">
        <v>91</v>
      </c>
      <c r="D111" s="19">
        <f>1357+15362</f>
        <v>16719</v>
      </c>
      <c r="E111" s="19">
        <f>1357+15362</f>
        <v>16719</v>
      </c>
      <c r="F111" s="19">
        <f>1254.5+14205.4</f>
        <v>15459.9</v>
      </c>
      <c r="G111" s="254">
        <f t="shared" si="3"/>
        <v>92.4690471918177</v>
      </c>
    </row>
    <row r="112" spans="1:7" s="42" customFormat="1" ht="15.75">
      <c r="A112" s="21">
        <v>81002</v>
      </c>
      <c r="B112" s="20">
        <v>3412</v>
      </c>
      <c r="C112" s="54" t="s">
        <v>92</v>
      </c>
      <c r="D112" s="19">
        <v>0</v>
      </c>
      <c r="E112" s="19">
        <v>89</v>
      </c>
      <c r="F112" s="19">
        <v>88.3</v>
      </c>
      <c r="G112" s="254">
        <f t="shared" si="3"/>
        <v>99.21348314606742</v>
      </c>
    </row>
    <row r="113" spans="1:7" s="42" customFormat="1" ht="15.75">
      <c r="A113" s="21">
        <v>81016</v>
      </c>
      <c r="B113" s="20">
        <v>3421</v>
      </c>
      <c r="C113" s="54" t="s">
        <v>93</v>
      </c>
      <c r="D113" s="19">
        <v>2000</v>
      </c>
      <c r="E113" s="19">
        <v>2793</v>
      </c>
      <c r="F113" s="19">
        <v>243.5</v>
      </c>
      <c r="G113" s="254">
        <f t="shared" si="3"/>
        <v>8.718224131757966</v>
      </c>
    </row>
    <row r="114" spans="1:7" s="42" customFormat="1" ht="15.75">
      <c r="A114" s="21">
        <v>10004</v>
      </c>
      <c r="B114" s="20">
        <v>3612</v>
      </c>
      <c r="C114" s="40" t="s">
        <v>94</v>
      </c>
      <c r="D114" s="19">
        <v>0</v>
      </c>
      <c r="E114" s="19">
        <v>2000</v>
      </c>
      <c r="F114" s="19">
        <v>23.4</v>
      </c>
      <c r="G114" s="254">
        <f t="shared" si="3"/>
        <v>1.17</v>
      </c>
    </row>
    <row r="115" spans="1:7" s="42" customFormat="1" ht="15.75">
      <c r="A115" s="21">
        <v>10008</v>
      </c>
      <c r="B115" s="20">
        <v>3613</v>
      </c>
      <c r="C115" s="54" t="s">
        <v>95</v>
      </c>
      <c r="D115" s="19">
        <v>0</v>
      </c>
      <c r="E115" s="19">
        <v>4000</v>
      </c>
      <c r="F115" s="19">
        <v>3976.5</v>
      </c>
      <c r="G115" s="254">
        <f t="shared" si="3"/>
        <v>99.41250000000001</v>
      </c>
    </row>
    <row r="116" spans="1:7" s="42" customFormat="1" ht="15.75">
      <c r="A116" s="21">
        <v>10010</v>
      </c>
      <c r="B116" s="20">
        <v>3632</v>
      </c>
      <c r="C116" s="54" t="s">
        <v>96</v>
      </c>
      <c r="D116" s="19">
        <v>0</v>
      </c>
      <c r="E116" s="19">
        <v>120</v>
      </c>
      <c r="F116" s="19">
        <v>60</v>
      </c>
      <c r="G116" s="254">
        <f t="shared" si="3"/>
        <v>50</v>
      </c>
    </row>
    <row r="117" spans="1:7" s="42" customFormat="1" ht="15.75">
      <c r="A117" s="21">
        <v>10011</v>
      </c>
      <c r="B117" s="20">
        <v>3632</v>
      </c>
      <c r="C117" s="54" t="s">
        <v>97</v>
      </c>
      <c r="D117" s="19">
        <v>0</v>
      </c>
      <c r="E117" s="19">
        <v>360</v>
      </c>
      <c r="F117" s="19">
        <v>0</v>
      </c>
      <c r="G117" s="254">
        <f t="shared" si="3"/>
        <v>0</v>
      </c>
    </row>
    <row r="118" spans="1:7" s="42" customFormat="1" ht="15.75">
      <c r="A118" s="21">
        <v>10012</v>
      </c>
      <c r="B118" s="20">
        <v>3632</v>
      </c>
      <c r="C118" s="54" t="s">
        <v>98</v>
      </c>
      <c r="D118" s="19">
        <v>0</v>
      </c>
      <c r="E118" s="19">
        <v>120</v>
      </c>
      <c r="F118" s="19">
        <v>0</v>
      </c>
      <c r="G118" s="254">
        <f t="shared" si="3"/>
        <v>0</v>
      </c>
    </row>
    <row r="119" spans="1:7" s="42" customFormat="1" ht="15.75" customHeight="1">
      <c r="A119" s="21">
        <v>91004</v>
      </c>
      <c r="B119" s="20">
        <v>3632</v>
      </c>
      <c r="C119" s="54" t="s">
        <v>99</v>
      </c>
      <c r="D119" s="19">
        <v>0</v>
      </c>
      <c r="E119" s="19">
        <v>2600</v>
      </c>
      <c r="F119" s="19">
        <v>2005.4</v>
      </c>
      <c r="G119" s="254">
        <f t="shared" si="3"/>
        <v>77.13076923076923</v>
      </c>
    </row>
    <row r="120" spans="1:7" s="42" customFormat="1" ht="15.75" hidden="1">
      <c r="A120" s="21">
        <v>71014</v>
      </c>
      <c r="B120" s="20">
        <v>3412</v>
      </c>
      <c r="C120" s="54" t="s">
        <v>100</v>
      </c>
      <c r="D120" s="19">
        <v>0</v>
      </c>
      <c r="E120" s="19">
        <v>0</v>
      </c>
      <c r="F120" s="19"/>
      <c r="G120" s="254" t="e">
        <f t="shared" si="3"/>
        <v>#DIV/0!</v>
      </c>
    </row>
    <row r="121" spans="1:7" s="42" customFormat="1" ht="15.75" hidden="1">
      <c r="A121" s="32"/>
      <c r="B121" s="33"/>
      <c r="C121" s="64"/>
      <c r="D121" s="58"/>
      <c r="E121" s="58"/>
      <c r="F121" s="58"/>
      <c r="G121" s="254" t="e">
        <f t="shared" si="3"/>
        <v>#DIV/0!</v>
      </c>
    </row>
    <row r="122" spans="1:7" s="42" customFormat="1" ht="15.75" hidden="1">
      <c r="A122" s="32"/>
      <c r="B122" s="33"/>
      <c r="C122" s="64"/>
      <c r="D122" s="58"/>
      <c r="E122" s="58"/>
      <c r="F122" s="58"/>
      <c r="G122" s="254" t="e">
        <f t="shared" si="3"/>
        <v>#DIV/0!</v>
      </c>
    </row>
    <row r="123" spans="1:7" s="42" customFormat="1" ht="15.75">
      <c r="A123" s="21">
        <v>10005</v>
      </c>
      <c r="B123" s="20">
        <v>3745</v>
      </c>
      <c r="C123" s="54" t="s">
        <v>101</v>
      </c>
      <c r="D123" s="19">
        <v>0</v>
      </c>
      <c r="E123" s="19">
        <v>6500</v>
      </c>
      <c r="F123" s="19">
        <v>432</v>
      </c>
      <c r="G123" s="254">
        <f t="shared" si="3"/>
        <v>6.646153846153846</v>
      </c>
    </row>
    <row r="124" spans="1:7" s="42" customFormat="1" ht="15.75">
      <c r="A124" s="21">
        <v>81012</v>
      </c>
      <c r="B124" s="20">
        <v>4357</v>
      </c>
      <c r="C124" s="40" t="s">
        <v>102</v>
      </c>
      <c r="D124" s="19">
        <v>0</v>
      </c>
      <c r="E124" s="19">
        <v>200</v>
      </c>
      <c r="F124" s="19">
        <v>128.4</v>
      </c>
      <c r="G124" s="254">
        <f t="shared" si="3"/>
        <v>64.2</v>
      </c>
    </row>
    <row r="125" spans="1:7" s="42" customFormat="1" ht="15.75">
      <c r="A125" s="21">
        <v>71024</v>
      </c>
      <c r="B125" s="20">
        <v>6171</v>
      </c>
      <c r="C125" s="40" t="s">
        <v>103</v>
      </c>
      <c r="D125" s="19">
        <v>0</v>
      </c>
      <c r="E125" s="19">
        <v>15343</v>
      </c>
      <c r="F125" s="19">
        <v>49.2</v>
      </c>
      <c r="G125" s="254">
        <f t="shared" si="3"/>
        <v>0.3206674053314215</v>
      </c>
    </row>
    <row r="126" spans="1:7" s="42" customFormat="1" ht="15.75" hidden="1">
      <c r="A126" s="21"/>
      <c r="B126" s="20"/>
      <c r="C126" s="54"/>
      <c r="D126" s="19"/>
      <c r="E126" s="19"/>
      <c r="F126" s="19"/>
      <c r="G126" s="254"/>
    </row>
    <row r="127" spans="1:7" s="42" customFormat="1" ht="15.75" hidden="1">
      <c r="A127" s="21"/>
      <c r="B127" s="20"/>
      <c r="C127" s="54"/>
      <c r="D127" s="19"/>
      <c r="E127" s="19"/>
      <c r="F127" s="19"/>
      <c r="G127" s="254"/>
    </row>
    <row r="128" spans="1:7" s="42" customFormat="1" ht="15.75" hidden="1">
      <c r="A128" s="21"/>
      <c r="B128" s="20"/>
      <c r="C128" s="40"/>
      <c r="D128" s="19"/>
      <c r="E128" s="19"/>
      <c r="F128" s="19"/>
      <c r="G128" s="254"/>
    </row>
    <row r="129" spans="1:7" s="42" customFormat="1" ht="15.75" hidden="1">
      <c r="A129" s="21"/>
      <c r="B129" s="20"/>
      <c r="C129" s="40"/>
      <c r="D129" s="19"/>
      <c r="E129" s="19"/>
      <c r="F129" s="19"/>
      <c r="G129" s="254"/>
    </row>
    <row r="130" spans="1:7" s="42" customFormat="1" ht="15.75" hidden="1">
      <c r="A130" s="21"/>
      <c r="B130" s="20"/>
      <c r="C130" s="40"/>
      <c r="D130" s="19"/>
      <c r="E130" s="19"/>
      <c r="F130" s="19"/>
      <c r="G130" s="254"/>
    </row>
    <row r="131" spans="1:7" s="42" customFormat="1" ht="15.75" hidden="1">
      <c r="A131" s="21"/>
      <c r="B131" s="20"/>
      <c r="C131" s="40"/>
      <c r="D131" s="19"/>
      <c r="E131" s="19"/>
      <c r="F131" s="19"/>
      <c r="G131" s="254"/>
    </row>
    <row r="132" spans="1:7" s="42" customFormat="1" ht="15.75" hidden="1">
      <c r="A132" s="21"/>
      <c r="B132" s="20"/>
      <c r="C132" s="40"/>
      <c r="D132" s="19"/>
      <c r="E132" s="19"/>
      <c r="F132" s="19"/>
      <c r="G132" s="254"/>
    </row>
    <row r="133" spans="1:7" s="42" customFormat="1" ht="15.75">
      <c r="A133" s="21"/>
      <c r="B133" s="20"/>
      <c r="C133" s="40"/>
      <c r="D133" s="19"/>
      <c r="E133" s="19"/>
      <c r="F133" s="19"/>
      <c r="G133" s="254"/>
    </row>
    <row r="134" spans="1:7" s="7" customFormat="1" ht="16.5" customHeight="1">
      <c r="A134" s="65"/>
      <c r="B134" s="66"/>
      <c r="C134" s="67" t="s">
        <v>104</v>
      </c>
      <c r="D134" s="68">
        <f>SUM(D76:D133)</f>
        <v>79500</v>
      </c>
      <c r="E134" s="68">
        <f>SUM(E76:E133)</f>
        <v>173754</v>
      </c>
      <c r="F134" s="68">
        <f>SUM(F76:F133)</f>
        <v>71839.2</v>
      </c>
      <c r="G134" s="254">
        <f>(F134/E134)*100</f>
        <v>41.34535032287026</v>
      </c>
    </row>
    <row r="135" spans="1:7" s="7" customFormat="1" ht="16.5" customHeight="1">
      <c r="A135" s="65"/>
      <c r="B135" s="66"/>
      <c r="C135" s="67" t="s">
        <v>105</v>
      </c>
      <c r="D135" s="68">
        <f>SUM(D111)</f>
        <v>16719</v>
      </c>
      <c r="E135" s="68">
        <f>SUM(E111)</f>
        <v>16719</v>
      </c>
      <c r="F135" s="68">
        <f>SUM(F111)</f>
        <v>15459.9</v>
      </c>
      <c r="G135" s="254">
        <f>(F135/E135)*100</f>
        <v>92.4690471918177</v>
      </c>
    </row>
    <row r="136" spans="1:7" s="42" customFormat="1" ht="15.75" customHeight="1" thickBot="1">
      <c r="A136" s="21"/>
      <c r="B136" s="20"/>
      <c r="C136" s="40"/>
      <c r="D136" s="19"/>
      <c r="E136" s="19"/>
      <c r="F136" s="19"/>
      <c r="G136" s="254"/>
    </row>
    <row r="137" spans="1:7" s="42" customFormat="1" ht="12.75" customHeight="1" hidden="1" thickBot="1">
      <c r="A137" s="46"/>
      <c r="B137" s="47"/>
      <c r="C137" s="39"/>
      <c r="D137" s="48"/>
      <c r="E137" s="48"/>
      <c r="F137" s="48"/>
      <c r="G137" s="261"/>
    </row>
    <row r="138" spans="1:7" s="10" customFormat="1" ht="18.75" customHeight="1" thickBot="1" thickTop="1">
      <c r="A138" s="69"/>
      <c r="B138" s="29"/>
      <c r="C138" s="70" t="s">
        <v>106</v>
      </c>
      <c r="D138" s="31">
        <f>SUM(D61,D134)</f>
        <v>84900</v>
      </c>
      <c r="E138" s="31">
        <f>SUM(E61,E134)</f>
        <v>185277</v>
      </c>
      <c r="F138" s="31">
        <f>SUM(F61,F134)</f>
        <v>72846.7</v>
      </c>
      <c r="G138" s="256">
        <f>(F138/E138)*100</f>
        <v>39.31772427230579</v>
      </c>
    </row>
    <row r="139" spans="1:7" s="42" customFormat="1" ht="16.5" customHeight="1">
      <c r="A139" s="34"/>
      <c r="B139" s="49"/>
      <c r="C139" s="34"/>
      <c r="D139" s="36"/>
      <c r="E139" s="5"/>
      <c r="F139" s="5"/>
      <c r="G139" s="262"/>
    </row>
    <row r="140" spans="1:7" s="10" customFormat="1" ht="12.75" customHeight="1" hidden="1">
      <c r="A140" s="32"/>
      <c r="B140" s="33"/>
      <c r="C140" s="34"/>
      <c r="D140" s="36"/>
      <c r="E140" s="36"/>
      <c r="F140" s="36"/>
      <c r="G140" s="257"/>
    </row>
    <row r="141" spans="1:7" s="10" customFormat="1" ht="12.75" customHeight="1" hidden="1">
      <c r="A141" s="32"/>
      <c r="B141" s="33"/>
      <c r="C141" s="34"/>
      <c r="D141" s="36"/>
      <c r="E141" s="36"/>
      <c r="F141" s="36"/>
      <c r="G141" s="257"/>
    </row>
    <row r="142" spans="1:7" s="10" customFormat="1" ht="12.75" customHeight="1" hidden="1">
      <c r="A142" s="32"/>
      <c r="B142" s="33"/>
      <c r="C142" s="34"/>
      <c r="D142" s="36"/>
      <c r="E142" s="36"/>
      <c r="F142" s="36"/>
      <c r="G142" s="257"/>
    </row>
    <row r="143" spans="1:7" s="10" customFormat="1" ht="12.75" customHeight="1" hidden="1">
      <c r="A143" s="32"/>
      <c r="B143" s="33"/>
      <c r="C143" s="34"/>
      <c r="D143" s="36"/>
      <c r="E143" s="36"/>
      <c r="F143" s="36"/>
      <c r="G143" s="257"/>
    </row>
    <row r="144" spans="1:7" s="10" customFormat="1" ht="12.75" customHeight="1" hidden="1">
      <c r="A144" s="32"/>
      <c r="B144" s="33"/>
      <c r="C144" s="34"/>
      <c r="D144" s="36"/>
      <c r="E144" s="36"/>
      <c r="F144" s="36"/>
      <c r="G144" s="257"/>
    </row>
    <row r="145" spans="1:7" s="10" customFormat="1" ht="12.75" customHeight="1" hidden="1">
      <c r="A145" s="32"/>
      <c r="B145" s="33"/>
      <c r="C145" s="34"/>
      <c r="D145" s="36"/>
      <c r="E145" s="36"/>
      <c r="F145" s="36"/>
      <c r="G145" s="257"/>
    </row>
    <row r="146" spans="1:7" s="10" customFormat="1" ht="15.75" customHeight="1" thickBot="1">
      <c r="A146" s="32"/>
      <c r="B146" s="33"/>
      <c r="C146" s="34"/>
      <c r="D146" s="36"/>
      <c r="E146" s="9"/>
      <c r="F146" s="9"/>
      <c r="G146" s="263"/>
    </row>
    <row r="147" spans="1:7" s="10" customFormat="1" ht="15.75">
      <c r="A147" s="242" t="s">
        <v>3</v>
      </c>
      <c r="B147" s="243" t="s">
        <v>4</v>
      </c>
      <c r="C147" s="244" t="s">
        <v>5</v>
      </c>
      <c r="D147" s="244" t="s">
        <v>6</v>
      </c>
      <c r="E147" s="244" t="s">
        <v>6</v>
      </c>
      <c r="F147" s="244" t="s">
        <v>7</v>
      </c>
      <c r="G147" s="258" t="s">
        <v>8</v>
      </c>
    </row>
    <row r="148" spans="1:7" s="10" customFormat="1" ht="15.75" customHeight="1" thickBot="1">
      <c r="A148" s="245"/>
      <c r="B148" s="246"/>
      <c r="C148" s="247"/>
      <c r="D148" s="248" t="s">
        <v>9</v>
      </c>
      <c r="E148" s="248" t="s">
        <v>10</v>
      </c>
      <c r="F148" s="248" t="s">
        <v>12</v>
      </c>
      <c r="G148" s="259" t="s">
        <v>13</v>
      </c>
    </row>
    <row r="149" spans="1:7" s="10" customFormat="1" ht="16.5" customHeight="1" thickTop="1">
      <c r="A149" s="13">
        <v>30</v>
      </c>
      <c r="B149" s="13"/>
      <c r="C149" s="72" t="s">
        <v>107</v>
      </c>
      <c r="D149" s="38"/>
      <c r="E149" s="38"/>
      <c r="F149" s="38"/>
      <c r="G149" s="260"/>
    </row>
    <row r="150" spans="1:7" s="10" customFormat="1" ht="16.5" customHeight="1" hidden="1">
      <c r="A150" s="73">
        <v>31</v>
      </c>
      <c r="B150" s="73"/>
      <c r="C150" s="34"/>
      <c r="D150" s="19"/>
      <c r="E150" s="19"/>
      <c r="F150" s="19"/>
      <c r="G150" s="254"/>
    </row>
    <row r="151" spans="1:7" s="10" customFormat="1" ht="15">
      <c r="A151" s="62"/>
      <c r="B151" s="62">
        <v>2212</v>
      </c>
      <c r="C151" s="40" t="s">
        <v>108</v>
      </c>
      <c r="D151" s="74">
        <v>8700</v>
      </c>
      <c r="E151" s="74">
        <v>15694</v>
      </c>
      <c r="F151" s="74">
        <v>7010.6</v>
      </c>
      <c r="G151" s="254">
        <f aca="true" t="shared" si="4" ref="G151:G164">(F151/E151)*100</f>
        <v>44.670574741939596</v>
      </c>
    </row>
    <row r="152" spans="1:7" s="10" customFormat="1" ht="15">
      <c r="A152" s="62"/>
      <c r="B152" s="62">
        <v>2219</v>
      </c>
      <c r="C152" s="21" t="s">
        <v>109</v>
      </c>
      <c r="D152" s="19">
        <v>4900</v>
      </c>
      <c r="E152" s="19">
        <v>13455</v>
      </c>
      <c r="F152" s="19">
        <v>5498.1</v>
      </c>
      <c r="G152" s="254">
        <f t="shared" si="4"/>
        <v>40.862876254180605</v>
      </c>
    </row>
    <row r="153" spans="1:7" s="10" customFormat="1" ht="15">
      <c r="A153" s="62"/>
      <c r="B153" s="62">
        <v>2229</v>
      </c>
      <c r="C153" s="40" t="s">
        <v>110</v>
      </c>
      <c r="D153" s="19">
        <v>50</v>
      </c>
      <c r="E153" s="19">
        <v>50</v>
      </c>
      <c r="F153" s="19">
        <v>16.8</v>
      </c>
      <c r="G153" s="254">
        <f t="shared" si="4"/>
        <v>33.6</v>
      </c>
    </row>
    <row r="154" spans="1:7" s="10" customFormat="1" ht="15">
      <c r="A154" s="21"/>
      <c r="B154" s="62">
        <v>3341</v>
      </c>
      <c r="C154" s="32" t="s">
        <v>111</v>
      </c>
      <c r="D154" s="19">
        <v>30</v>
      </c>
      <c r="E154" s="19">
        <v>30</v>
      </c>
      <c r="F154" s="19">
        <v>0</v>
      </c>
      <c r="G154" s="254">
        <f t="shared" si="4"/>
        <v>0</v>
      </c>
    </row>
    <row r="155" spans="1:7" s="10" customFormat="1" ht="15" hidden="1">
      <c r="A155" s="21"/>
      <c r="B155" s="62">
        <v>3349</v>
      </c>
      <c r="C155" s="40" t="s">
        <v>112</v>
      </c>
      <c r="D155" s="19">
        <v>0</v>
      </c>
      <c r="E155" s="19">
        <v>0</v>
      </c>
      <c r="F155" s="19"/>
      <c r="G155" s="254" t="e">
        <f t="shared" si="4"/>
        <v>#DIV/0!</v>
      </c>
    </row>
    <row r="156" spans="1:7" s="10" customFormat="1" ht="15">
      <c r="A156" s="21"/>
      <c r="B156" s="62">
        <v>3421</v>
      </c>
      <c r="C156" s="40" t="s">
        <v>113</v>
      </c>
      <c r="D156" s="19">
        <v>0</v>
      </c>
      <c r="E156" s="19">
        <v>300</v>
      </c>
      <c r="F156" s="19">
        <v>0</v>
      </c>
      <c r="G156" s="254">
        <f t="shared" si="4"/>
        <v>0</v>
      </c>
    </row>
    <row r="157" spans="1:7" s="10" customFormat="1" ht="15">
      <c r="A157" s="21"/>
      <c r="B157" s="62">
        <v>3631</v>
      </c>
      <c r="C157" s="40" t="s">
        <v>114</v>
      </c>
      <c r="D157" s="19">
        <v>9570</v>
      </c>
      <c r="E157" s="19">
        <v>9870</v>
      </c>
      <c r="F157" s="19">
        <v>4030.7</v>
      </c>
      <c r="G157" s="254">
        <f t="shared" si="4"/>
        <v>40.83789260385005</v>
      </c>
    </row>
    <row r="158" spans="1:7" s="10" customFormat="1" ht="15">
      <c r="A158" s="21"/>
      <c r="B158" s="62">
        <v>3632</v>
      </c>
      <c r="C158" s="32" t="s">
        <v>115</v>
      </c>
      <c r="D158" s="19">
        <v>641</v>
      </c>
      <c r="E158" s="19">
        <v>2198.2</v>
      </c>
      <c r="F158" s="19">
        <v>279.8</v>
      </c>
      <c r="G158" s="254">
        <f t="shared" si="4"/>
        <v>12.728596124101541</v>
      </c>
    </row>
    <row r="159" spans="1:7" s="10" customFormat="1" ht="15">
      <c r="A159" s="21"/>
      <c r="B159" s="62">
        <v>3722</v>
      </c>
      <c r="C159" s="40" t="s">
        <v>116</v>
      </c>
      <c r="D159" s="19">
        <v>25060</v>
      </c>
      <c r="E159" s="19">
        <v>19783.8</v>
      </c>
      <c r="F159" s="19">
        <v>9371.6</v>
      </c>
      <c r="G159" s="254">
        <f t="shared" si="4"/>
        <v>47.37007046169089</v>
      </c>
    </row>
    <row r="160" spans="1:7" s="10" customFormat="1" ht="15">
      <c r="A160" s="21"/>
      <c r="B160" s="62">
        <v>3745</v>
      </c>
      <c r="C160" s="40" t="s">
        <v>117</v>
      </c>
      <c r="D160" s="19">
        <v>11963</v>
      </c>
      <c r="E160" s="19">
        <v>16675.5</v>
      </c>
      <c r="F160" s="19">
        <v>11986.7</v>
      </c>
      <c r="G160" s="254">
        <f t="shared" si="4"/>
        <v>71.8821024856826</v>
      </c>
    </row>
    <row r="161" spans="1:7" s="10" customFormat="1" ht="15">
      <c r="A161" s="21"/>
      <c r="B161" s="62">
        <v>5512</v>
      </c>
      <c r="C161" s="32" t="s">
        <v>118</v>
      </c>
      <c r="D161" s="19">
        <v>3529</v>
      </c>
      <c r="E161" s="19">
        <v>3529</v>
      </c>
      <c r="F161" s="19">
        <v>823.8</v>
      </c>
      <c r="G161" s="254">
        <f t="shared" si="4"/>
        <v>23.34372343440068</v>
      </c>
    </row>
    <row r="162" spans="1:7" s="10" customFormat="1" ht="15.75" customHeight="1">
      <c r="A162" s="21"/>
      <c r="B162" s="62">
        <v>6112</v>
      </c>
      <c r="C162" s="40" t="s">
        <v>119</v>
      </c>
      <c r="D162" s="19">
        <v>4600</v>
      </c>
      <c r="E162" s="19">
        <v>4600</v>
      </c>
      <c r="F162" s="19">
        <v>1892.8</v>
      </c>
      <c r="G162" s="254">
        <f t="shared" si="4"/>
        <v>41.14782608695652</v>
      </c>
    </row>
    <row r="163" spans="1:7" s="10" customFormat="1" ht="15.75" customHeight="1">
      <c r="A163" s="21"/>
      <c r="B163" s="62">
        <v>6114</v>
      </c>
      <c r="C163" s="40" t="s">
        <v>120</v>
      </c>
      <c r="D163" s="19">
        <v>0</v>
      </c>
      <c r="E163" s="19">
        <v>482</v>
      </c>
      <c r="F163" s="19">
        <v>469.7</v>
      </c>
      <c r="G163" s="254">
        <f t="shared" si="4"/>
        <v>97.44813278008299</v>
      </c>
    </row>
    <row r="164" spans="1:7" s="10" customFormat="1" ht="17.25" customHeight="1">
      <c r="A164" s="62" t="s">
        <v>121</v>
      </c>
      <c r="B164" s="62">
        <v>6171</v>
      </c>
      <c r="C164" s="40" t="s">
        <v>122</v>
      </c>
      <c r="D164" s="19">
        <f>91491+230</f>
        <v>91721</v>
      </c>
      <c r="E164" s="19">
        <f>98987.8+260</f>
        <v>99247.8</v>
      </c>
      <c r="F164" s="19">
        <f>42373.7+166.9</f>
        <v>42540.6</v>
      </c>
      <c r="G164" s="254">
        <f t="shared" si="4"/>
        <v>42.86301560336854</v>
      </c>
    </row>
    <row r="165" spans="1:7" s="10" customFormat="1" ht="15.75" customHeight="1" thickBot="1">
      <c r="A165" s="75"/>
      <c r="B165" s="76"/>
      <c r="C165" s="23"/>
      <c r="D165" s="77"/>
      <c r="E165" s="77"/>
      <c r="F165" s="77"/>
      <c r="G165" s="264"/>
    </row>
    <row r="166" spans="1:7" s="10" customFormat="1" ht="18.75" customHeight="1" thickBot="1" thickTop="1">
      <c r="A166" s="69"/>
      <c r="B166" s="78"/>
      <c r="C166" s="79" t="s">
        <v>123</v>
      </c>
      <c r="D166" s="31">
        <f>SUM(D151:D165)</f>
        <v>160764</v>
      </c>
      <c r="E166" s="31">
        <f>SUM(E151:E165)</f>
        <v>185915.3</v>
      </c>
      <c r="F166" s="31">
        <f>SUM(F151:F165)</f>
        <v>83921.20000000001</v>
      </c>
      <c r="G166" s="256">
        <f>(F166/E166)*100</f>
        <v>45.13948018264232</v>
      </c>
    </row>
    <row r="167" spans="1:7" s="10" customFormat="1" ht="15.75" customHeight="1">
      <c r="A167" s="32"/>
      <c r="B167" s="33"/>
      <c r="C167" s="34"/>
      <c r="D167" s="36"/>
      <c r="E167" s="36"/>
      <c r="F167" s="36"/>
      <c r="G167" s="257"/>
    </row>
    <row r="168" spans="1:7" s="10" customFormat="1" ht="12.75" customHeight="1" hidden="1">
      <c r="A168" s="32"/>
      <c r="B168" s="33"/>
      <c r="C168" s="34"/>
      <c r="D168" s="36"/>
      <c r="E168" s="36"/>
      <c r="F168" s="36"/>
      <c r="G168" s="257"/>
    </row>
    <row r="169" spans="1:7" s="10" customFormat="1" ht="12.75" customHeight="1" hidden="1">
      <c r="A169" s="32"/>
      <c r="B169" s="33"/>
      <c r="C169" s="34"/>
      <c r="D169" s="36"/>
      <c r="E169" s="36"/>
      <c r="F169" s="36"/>
      <c r="G169" s="257"/>
    </row>
    <row r="170" spans="1:7" s="10" customFormat="1" ht="12.75" customHeight="1" hidden="1">
      <c r="A170" s="32"/>
      <c r="B170" s="33"/>
      <c r="C170" s="34"/>
      <c r="D170" s="36"/>
      <c r="E170" s="36"/>
      <c r="F170" s="36"/>
      <c r="G170" s="257"/>
    </row>
    <row r="171" spans="1:7" s="10" customFormat="1" ht="12.75" customHeight="1" hidden="1">
      <c r="A171" s="32"/>
      <c r="B171" s="33"/>
      <c r="C171" s="34"/>
      <c r="D171" s="36"/>
      <c r="E171" s="36"/>
      <c r="F171" s="36"/>
      <c r="G171" s="257"/>
    </row>
    <row r="172" spans="1:7" s="10" customFormat="1" ht="15.75" customHeight="1" thickBot="1">
      <c r="A172" s="32"/>
      <c r="B172" s="33"/>
      <c r="C172" s="34"/>
      <c r="D172" s="36"/>
      <c r="E172" s="36"/>
      <c r="F172" s="36"/>
      <c r="G172" s="257"/>
    </row>
    <row r="173" spans="1:7" s="10" customFormat="1" ht="15.75">
      <c r="A173" s="242" t="s">
        <v>3</v>
      </c>
      <c r="B173" s="243" t="s">
        <v>4</v>
      </c>
      <c r="C173" s="244" t="s">
        <v>5</v>
      </c>
      <c r="D173" s="244" t="s">
        <v>6</v>
      </c>
      <c r="E173" s="244" t="s">
        <v>6</v>
      </c>
      <c r="F173" s="244" t="s">
        <v>7</v>
      </c>
      <c r="G173" s="258" t="s">
        <v>8</v>
      </c>
    </row>
    <row r="174" spans="1:7" s="10" customFormat="1" ht="15.75" customHeight="1" thickBot="1">
      <c r="A174" s="245"/>
      <c r="B174" s="246"/>
      <c r="C174" s="247"/>
      <c r="D174" s="248" t="s">
        <v>9</v>
      </c>
      <c r="E174" s="248" t="s">
        <v>10</v>
      </c>
      <c r="F174" s="248" t="s">
        <v>12</v>
      </c>
      <c r="G174" s="259" t="s">
        <v>13</v>
      </c>
    </row>
    <row r="175" spans="1:7" s="10" customFormat="1" ht="16.5" thickTop="1">
      <c r="A175" s="13">
        <v>50</v>
      </c>
      <c r="B175" s="14"/>
      <c r="C175" s="15" t="s">
        <v>124</v>
      </c>
      <c r="D175" s="38"/>
      <c r="E175" s="38"/>
      <c r="F175" s="38"/>
      <c r="G175" s="260"/>
    </row>
    <row r="176" spans="1:7" s="10" customFormat="1" ht="14.25" customHeight="1">
      <c r="A176" s="13"/>
      <c r="B176" s="14"/>
      <c r="C176" s="15"/>
      <c r="D176" s="38"/>
      <c r="E176" s="38"/>
      <c r="F176" s="38"/>
      <c r="G176" s="260"/>
    </row>
    <row r="177" spans="1:7" s="10" customFormat="1" ht="15">
      <c r="A177" s="21"/>
      <c r="B177" s="20">
        <v>3541</v>
      </c>
      <c r="C177" s="21" t="s">
        <v>125</v>
      </c>
      <c r="D177" s="82">
        <v>200</v>
      </c>
      <c r="E177" s="82">
        <v>200</v>
      </c>
      <c r="F177" s="82">
        <v>200</v>
      </c>
      <c r="G177" s="254">
        <f aca="true" t="shared" si="5" ref="G177:G206">(F177/E177)*100</f>
        <v>100</v>
      </c>
    </row>
    <row r="178" spans="1:7" s="10" customFormat="1" ht="15">
      <c r="A178" s="21"/>
      <c r="B178" s="20">
        <v>3599</v>
      </c>
      <c r="C178" s="21" t="s">
        <v>126</v>
      </c>
      <c r="D178" s="82">
        <v>140</v>
      </c>
      <c r="E178" s="82">
        <v>140</v>
      </c>
      <c r="F178" s="82">
        <v>71.7</v>
      </c>
      <c r="G178" s="254">
        <f t="shared" si="5"/>
        <v>51.214285714285715</v>
      </c>
    </row>
    <row r="179" spans="1:7" s="10" customFormat="1" ht="15">
      <c r="A179" s="21"/>
      <c r="B179" s="20">
        <v>4171</v>
      </c>
      <c r="C179" s="21" t="s">
        <v>127</v>
      </c>
      <c r="D179" s="82">
        <v>15500</v>
      </c>
      <c r="E179" s="82">
        <v>15500</v>
      </c>
      <c r="F179" s="82">
        <v>7537.4</v>
      </c>
      <c r="G179" s="254">
        <f t="shared" si="5"/>
        <v>48.62838709677419</v>
      </c>
    </row>
    <row r="180" spans="1:7" s="10" customFormat="1" ht="15">
      <c r="A180" s="21"/>
      <c r="B180" s="20">
        <v>4172</v>
      </c>
      <c r="C180" s="21" t="s">
        <v>128</v>
      </c>
      <c r="D180" s="82">
        <v>2000</v>
      </c>
      <c r="E180" s="82">
        <v>2000</v>
      </c>
      <c r="F180" s="82">
        <v>1126.9</v>
      </c>
      <c r="G180" s="254">
        <f t="shared" si="5"/>
        <v>56.345</v>
      </c>
    </row>
    <row r="181" spans="1:7" s="10" customFormat="1" ht="15">
      <c r="A181" s="21"/>
      <c r="B181" s="20">
        <v>4173</v>
      </c>
      <c r="C181" s="21" t="s">
        <v>129</v>
      </c>
      <c r="D181" s="82">
        <v>380</v>
      </c>
      <c r="E181" s="82">
        <v>380</v>
      </c>
      <c r="F181" s="82">
        <v>122.5</v>
      </c>
      <c r="G181" s="254">
        <f t="shared" si="5"/>
        <v>32.23684210526316</v>
      </c>
    </row>
    <row r="182" spans="1:7" s="10" customFormat="1" ht="15">
      <c r="A182" s="21"/>
      <c r="B182" s="20">
        <v>4177</v>
      </c>
      <c r="C182" s="21" t="s">
        <v>130</v>
      </c>
      <c r="D182" s="82">
        <v>120</v>
      </c>
      <c r="E182" s="82">
        <v>120</v>
      </c>
      <c r="F182" s="82">
        <v>40</v>
      </c>
      <c r="G182" s="254">
        <f t="shared" si="5"/>
        <v>33.33333333333333</v>
      </c>
    </row>
    <row r="183" spans="1:7" s="10" customFormat="1" ht="15" hidden="1">
      <c r="A183" s="21"/>
      <c r="B183" s="20">
        <v>4179</v>
      </c>
      <c r="C183" s="21" t="s">
        <v>131</v>
      </c>
      <c r="D183" s="19"/>
      <c r="E183" s="19"/>
      <c r="F183" s="19"/>
      <c r="G183" s="254" t="e">
        <f t="shared" si="5"/>
        <v>#DIV/0!</v>
      </c>
    </row>
    <row r="184" spans="1:7" s="10" customFormat="1" ht="15" hidden="1">
      <c r="A184" s="21"/>
      <c r="B184" s="20">
        <v>4181</v>
      </c>
      <c r="C184" s="21" t="s">
        <v>132</v>
      </c>
      <c r="D184" s="19"/>
      <c r="E184" s="19"/>
      <c r="F184" s="19"/>
      <c r="G184" s="254" t="e">
        <f t="shared" si="5"/>
        <v>#DIV/0!</v>
      </c>
    </row>
    <row r="185" spans="1:7" s="10" customFormat="1" ht="15">
      <c r="A185" s="21"/>
      <c r="B185" s="20">
        <v>4182</v>
      </c>
      <c r="C185" s="21" t="s">
        <v>133</v>
      </c>
      <c r="D185" s="82">
        <v>750</v>
      </c>
      <c r="E185" s="82">
        <v>2750</v>
      </c>
      <c r="F185" s="82">
        <v>1278.6</v>
      </c>
      <c r="G185" s="254">
        <f t="shared" si="5"/>
        <v>46.49454545454545</v>
      </c>
    </row>
    <row r="186" spans="1:7" s="10" customFormat="1" ht="15">
      <c r="A186" s="21"/>
      <c r="B186" s="20">
        <v>4183</v>
      </c>
      <c r="C186" s="21" t="s">
        <v>134</v>
      </c>
      <c r="D186" s="82">
        <v>750</v>
      </c>
      <c r="E186" s="82">
        <v>750</v>
      </c>
      <c r="F186" s="82">
        <v>160</v>
      </c>
      <c r="G186" s="254">
        <f t="shared" si="5"/>
        <v>21.333333333333336</v>
      </c>
    </row>
    <row r="187" spans="1:7" s="10" customFormat="1" ht="15">
      <c r="A187" s="21"/>
      <c r="B187" s="20">
        <v>4184</v>
      </c>
      <c r="C187" s="21" t="s">
        <v>135</v>
      </c>
      <c r="D187" s="82">
        <v>3500</v>
      </c>
      <c r="E187" s="82">
        <v>3500</v>
      </c>
      <c r="F187" s="82">
        <v>1548.8</v>
      </c>
      <c r="G187" s="254">
        <f t="shared" si="5"/>
        <v>44.25142857142857</v>
      </c>
    </row>
    <row r="188" spans="1:7" s="10" customFormat="1" ht="15">
      <c r="A188" s="21"/>
      <c r="B188" s="20">
        <v>4185</v>
      </c>
      <c r="C188" s="21" t="s">
        <v>136</v>
      </c>
      <c r="D188" s="82">
        <v>7000</v>
      </c>
      <c r="E188" s="82">
        <v>5000</v>
      </c>
      <c r="F188" s="82">
        <v>3193.5</v>
      </c>
      <c r="G188" s="254">
        <f t="shared" si="5"/>
        <v>63.870000000000005</v>
      </c>
    </row>
    <row r="189" spans="1:7" s="10" customFormat="1" ht="15">
      <c r="A189" s="21"/>
      <c r="B189" s="20">
        <v>4186</v>
      </c>
      <c r="C189" s="21" t="s">
        <v>137</v>
      </c>
      <c r="D189" s="82">
        <v>100</v>
      </c>
      <c r="E189" s="82">
        <v>100</v>
      </c>
      <c r="F189" s="82">
        <v>25.9</v>
      </c>
      <c r="G189" s="254">
        <f t="shared" si="5"/>
        <v>25.900000000000002</v>
      </c>
    </row>
    <row r="190" spans="1:7" s="10" customFormat="1" ht="15" hidden="1">
      <c r="A190" s="21"/>
      <c r="B190" s="20">
        <v>4189</v>
      </c>
      <c r="C190" s="21" t="s">
        <v>138</v>
      </c>
      <c r="D190" s="19"/>
      <c r="E190" s="19"/>
      <c r="F190" s="19"/>
      <c r="G190" s="254" t="e">
        <f t="shared" si="5"/>
        <v>#DIV/0!</v>
      </c>
    </row>
    <row r="191" spans="1:7" s="10" customFormat="1" ht="15">
      <c r="A191" s="21"/>
      <c r="B191" s="20">
        <v>4195</v>
      </c>
      <c r="C191" s="21" t="s">
        <v>139</v>
      </c>
      <c r="D191" s="82">
        <v>105000</v>
      </c>
      <c r="E191" s="82">
        <v>105000</v>
      </c>
      <c r="F191" s="82">
        <v>53944</v>
      </c>
      <c r="G191" s="254">
        <f t="shared" si="5"/>
        <v>51.375238095238096</v>
      </c>
    </row>
    <row r="192" spans="1:7" s="10" customFormat="1" ht="15">
      <c r="A192" s="80"/>
      <c r="B192" s="20">
        <v>4329</v>
      </c>
      <c r="C192" s="21" t="s">
        <v>140</v>
      </c>
      <c r="D192" s="82">
        <v>40</v>
      </c>
      <c r="E192" s="82">
        <v>40</v>
      </c>
      <c r="F192" s="82">
        <v>0</v>
      </c>
      <c r="G192" s="254">
        <f t="shared" si="5"/>
        <v>0</v>
      </c>
    </row>
    <row r="193" spans="1:7" s="10" customFormat="1" ht="15">
      <c r="A193" s="21"/>
      <c r="B193" s="20">
        <v>4333</v>
      </c>
      <c r="C193" s="21" t="s">
        <v>141</v>
      </c>
      <c r="D193" s="82">
        <v>100</v>
      </c>
      <c r="E193" s="82">
        <v>100</v>
      </c>
      <c r="F193" s="82">
        <v>100</v>
      </c>
      <c r="G193" s="254">
        <f t="shared" si="5"/>
        <v>100</v>
      </c>
    </row>
    <row r="194" spans="1:7" s="10" customFormat="1" ht="15" hidden="1">
      <c r="A194" s="21"/>
      <c r="B194" s="20">
        <v>4341</v>
      </c>
      <c r="C194" s="21" t="s">
        <v>142</v>
      </c>
      <c r="D194" s="82">
        <v>0</v>
      </c>
      <c r="E194" s="82">
        <v>0</v>
      </c>
      <c r="F194" s="82"/>
      <c r="G194" s="254" t="e">
        <f t="shared" si="5"/>
        <v>#DIV/0!</v>
      </c>
    </row>
    <row r="195" spans="1:7" s="10" customFormat="1" ht="15">
      <c r="A195" s="21"/>
      <c r="B195" s="20">
        <v>4342</v>
      </c>
      <c r="C195" s="21" t="s">
        <v>143</v>
      </c>
      <c r="D195" s="82">
        <v>50</v>
      </c>
      <c r="E195" s="82">
        <v>50</v>
      </c>
      <c r="F195" s="82">
        <v>0</v>
      </c>
      <c r="G195" s="254">
        <f t="shared" si="5"/>
        <v>0</v>
      </c>
    </row>
    <row r="196" spans="1:7" s="10" customFormat="1" ht="15">
      <c r="A196" s="21"/>
      <c r="B196" s="20">
        <v>4349</v>
      </c>
      <c r="C196" s="21" t="s">
        <v>144</v>
      </c>
      <c r="D196" s="82">
        <v>290</v>
      </c>
      <c r="E196" s="82">
        <v>575</v>
      </c>
      <c r="F196" s="82">
        <v>569.9</v>
      </c>
      <c r="G196" s="254">
        <f t="shared" si="5"/>
        <v>99.11304347826086</v>
      </c>
    </row>
    <row r="197" spans="1:7" s="10" customFormat="1" ht="15">
      <c r="A197" s="80"/>
      <c r="B197" s="81">
        <v>4351</v>
      </c>
      <c r="C197" s="80" t="s">
        <v>145</v>
      </c>
      <c r="D197" s="82">
        <v>1525</v>
      </c>
      <c r="E197" s="82">
        <v>1525</v>
      </c>
      <c r="F197" s="82">
        <v>1105</v>
      </c>
      <c r="G197" s="254">
        <f t="shared" si="5"/>
        <v>72.45901639344262</v>
      </c>
    </row>
    <row r="198" spans="1:7" s="10" customFormat="1" ht="15">
      <c r="A198" s="80"/>
      <c r="B198" s="81">
        <v>4356</v>
      </c>
      <c r="C198" s="80" t="s">
        <v>146</v>
      </c>
      <c r="D198" s="82">
        <v>200</v>
      </c>
      <c r="E198" s="82">
        <v>200</v>
      </c>
      <c r="F198" s="82">
        <v>200</v>
      </c>
      <c r="G198" s="254">
        <f t="shared" si="5"/>
        <v>100</v>
      </c>
    </row>
    <row r="199" spans="1:7" s="10" customFormat="1" ht="15">
      <c r="A199" s="80"/>
      <c r="B199" s="81">
        <v>4357</v>
      </c>
      <c r="C199" s="80" t="s">
        <v>147</v>
      </c>
      <c r="D199" s="82">
        <v>7700</v>
      </c>
      <c r="E199" s="82">
        <v>7700</v>
      </c>
      <c r="F199" s="82">
        <v>6200</v>
      </c>
      <c r="G199" s="254">
        <f t="shared" si="5"/>
        <v>80.51948051948052</v>
      </c>
    </row>
    <row r="200" spans="1:7" s="10" customFormat="1" ht="15">
      <c r="A200" s="80"/>
      <c r="B200" s="81">
        <v>4357</v>
      </c>
      <c r="C200" s="80" t="s">
        <v>148</v>
      </c>
      <c r="D200" s="82">
        <v>350</v>
      </c>
      <c r="E200" s="82">
        <v>350</v>
      </c>
      <c r="F200" s="82">
        <v>350</v>
      </c>
      <c r="G200" s="254">
        <f t="shared" si="5"/>
        <v>100</v>
      </c>
    </row>
    <row r="201" spans="1:7" s="10" customFormat="1" ht="15">
      <c r="A201" s="80"/>
      <c r="B201" s="252">
        <v>4359</v>
      </c>
      <c r="C201" s="111" t="s">
        <v>149</v>
      </c>
      <c r="D201" s="83">
        <v>50</v>
      </c>
      <c r="E201" s="83">
        <v>50</v>
      </c>
      <c r="F201" s="83">
        <v>50</v>
      </c>
      <c r="G201" s="254">
        <f t="shared" si="5"/>
        <v>100</v>
      </c>
    </row>
    <row r="202" spans="1:7" s="10" customFormat="1" ht="15">
      <c r="A202" s="21"/>
      <c r="B202" s="20">
        <v>4371</v>
      </c>
      <c r="C202" s="54" t="s">
        <v>150</v>
      </c>
      <c r="D202" s="82">
        <v>300</v>
      </c>
      <c r="E202" s="82">
        <v>300</v>
      </c>
      <c r="F202" s="82">
        <v>300</v>
      </c>
      <c r="G202" s="254">
        <f t="shared" si="5"/>
        <v>100</v>
      </c>
    </row>
    <row r="203" spans="1:7" s="10" customFormat="1" ht="15">
      <c r="A203" s="21"/>
      <c r="B203" s="20">
        <v>4374</v>
      </c>
      <c r="C203" s="21" t="s">
        <v>151</v>
      </c>
      <c r="D203" s="82">
        <v>200</v>
      </c>
      <c r="E203" s="82">
        <v>200</v>
      </c>
      <c r="F203" s="82">
        <v>200</v>
      </c>
      <c r="G203" s="254">
        <f t="shared" si="5"/>
        <v>100</v>
      </c>
    </row>
    <row r="204" spans="1:7" s="10" customFormat="1" ht="15">
      <c r="A204" s="80"/>
      <c r="B204" s="81">
        <v>4399</v>
      </c>
      <c r="C204" s="80" t="s">
        <v>152</v>
      </c>
      <c r="D204" s="83">
        <v>55</v>
      </c>
      <c r="E204" s="83">
        <v>73.4</v>
      </c>
      <c r="F204" s="83">
        <v>19.9</v>
      </c>
      <c r="G204" s="254">
        <f t="shared" si="5"/>
        <v>27.1117166212534</v>
      </c>
    </row>
    <row r="205" spans="1:7" s="10" customFormat="1" ht="15" customHeight="1">
      <c r="A205" s="80"/>
      <c r="B205" s="81">
        <v>6171</v>
      </c>
      <c r="C205" s="80" t="s">
        <v>153</v>
      </c>
      <c r="D205" s="77">
        <v>600</v>
      </c>
      <c r="E205" s="77">
        <v>600</v>
      </c>
      <c r="F205" s="77">
        <v>67.5</v>
      </c>
      <c r="G205" s="254">
        <f t="shared" si="5"/>
        <v>11.25</v>
      </c>
    </row>
    <row r="206" spans="1:7" s="10" customFormat="1" ht="15">
      <c r="A206" s="80"/>
      <c r="B206" s="81">
        <v>6402</v>
      </c>
      <c r="C206" s="80" t="s">
        <v>154</v>
      </c>
      <c r="D206" s="77">
        <v>0</v>
      </c>
      <c r="E206" s="77">
        <v>4.6</v>
      </c>
      <c r="F206" s="83">
        <v>4.6</v>
      </c>
      <c r="G206" s="254">
        <f t="shared" si="5"/>
        <v>100</v>
      </c>
    </row>
    <row r="207" spans="1:7" s="10" customFormat="1" ht="15" hidden="1">
      <c r="A207" s="80"/>
      <c r="B207" s="81">
        <v>6409</v>
      </c>
      <c r="C207" s="80" t="s">
        <v>155</v>
      </c>
      <c r="D207" s="77">
        <v>0</v>
      </c>
      <c r="E207" s="77">
        <v>0</v>
      </c>
      <c r="F207" s="77"/>
      <c r="G207" s="254" t="e">
        <f>(#REF!/E207)*100</f>
        <v>#REF!</v>
      </c>
    </row>
    <row r="208" spans="1:7" s="10" customFormat="1" ht="15" customHeight="1" thickBot="1">
      <c r="A208" s="80"/>
      <c r="B208" s="81"/>
      <c r="C208" s="80"/>
      <c r="D208" s="77"/>
      <c r="E208" s="77"/>
      <c r="F208" s="77"/>
      <c r="G208" s="254"/>
    </row>
    <row r="209" spans="1:7" s="10" customFormat="1" ht="18.75" customHeight="1" thickBot="1" thickTop="1">
      <c r="A209" s="69"/>
      <c r="B209" s="29"/>
      <c r="C209" s="30" t="s">
        <v>156</v>
      </c>
      <c r="D209" s="31">
        <f>SUM(D177:D208)</f>
        <v>146900</v>
      </c>
      <c r="E209" s="31">
        <f>SUM(E177:E208)</f>
        <v>147208</v>
      </c>
      <c r="F209" s="31">
        <f>SUM(F177:F208)</f>
        <v>78416.2</v>
      </c>
      <c r="G209" s="256">
        <f>(F209/E209)*100</f>
        <v>53.26897994674202</v>
      </c>
    </row>
    <row r="210" spans="1:7" s="10" customFormat="1" ht="15.75" customHeight="1">
      <c r="A210" s="32"/>
      <c r="B210" s="33"/>
      <c r="C210" s="34"/>
      <c r="D210" s="35"/>
      <c r="E210" s="35"/>
      <c r="F210" s="35"/>
      <c r="G210" s="257"/>
    </row>
    <row r="211" spans="1:7" s="10" customFormat="1" ht="15.75" customHeight="1">
      <c r="A211" s="32"/>
      <c r="B211" s="33"/>
      <c r="C211" s="34"/>
      <c r="D211" s="36"/>
      <c r="E211" s="36"/>
      <c r="F211" s="36"/>
      <c r="G211" s="257"/>
    </row>
    <row r="212" spans="1:7" s="10" customFormat="1" ht="12.75" customHeight="1" hidden="1">
      <c r="A212" s="32"/>
      <c r="C212" s="33"/>
      <c r="D212" s="36"/>
      <c r="E212" s="36"/>
      <c r="F212" s="36"/>
      <c r="G212" s="257"/>
    </row>
    <row r="213" spans="1:7" s="10" customFormat="1" ht="12.75" customHeight="1" hidden="1">
      <c r="A213" s="32"/>
      <c r="B213" s="33"/>
      <c r="C213" s="34"/>
      <c r="D213" s="36"/>
      <c r="E213" s="36"/>
      <c r="F213" s="36"/>
      <c r="G213" s="257"/>
    </row>
    <row r="214" spans="1:7" s="10" customFormat="1" ht="12.75" customHeight="1" hidden="1">
      <c r="A214" s="32"/>
      <c r="B214" s="33"/>
      <c r="C214" s="34"/>
      <c r="D214" s="36"/>
      <c r="E214" s="36"/>
      <c r="F214" s="36"/>
      <c r="G214" s="257"/>
    </row>
    <row r="215" spans="1:7" s="10" customFormat="1" ht="12.75" customHeight="1" hidden="1">
      <c r="A215" s="32"/>
      <c r="B215" s="33"/>
      <c r="C215" s="34"/>
      <c r="D215" s="36"/>
      <c r="E215" s="36"/>
      <c r="F215" s="36"/>
      <c r="G215" s="257"/>
    </row>
    <row r="216" spans="1:7" s="10" customFormat="1" ht="12.75" customHeight="1" hidden="1">
      <c r="A216" s="32"/>
      <c r="B216" s="33"/>
      <c r="C216" s="34"/>
      <c r="D216" s="36"/>
      <c r="E216" s="36"/>
      <c r="F216" s="36"/>
      <c r="G216" s="257"/>
    </row>
    <row r="217" spans="1:7" s="10" customFormat="1" ht="12.75" customHeight="1" hidden="1">
      <c r="A217" s="32"/>
      <c r="B217" s="33"/>
      <c r="C217" s="34"/>
      <c r="D217" s="36"/>
      <c r="E217" s="36"/>
      <c r="F217" s="36"/>
      <c r="G217" s="257"/>
    </row>
    <row r="218" spans="1:7" s="10" customFormat="1" ht="12.75" customHeight="1" hidden="1">
      <c r="A218" s="32"/>
      <c r="B218" s="33"/>
      <c r="C218" s="34"/>
      <c r="D218" s="36"/>
      <c r="E218" s="5"/>
      <c r="F218" s="5"/>
      <c r="G218" s="262"/>
    </row>
    <row r="219" spans="1:7" s="10" customFormat="1" ht="12.75" customHeight="1" hidden="1">
      <c r="A219" s="32"/>
      <c r="B219" s="33"/>
      <c r="C219" s="34"/>
      <c r="D219" s="36"/>
      <c r="E219" s="36"/>
      <c r="F219" s="36"/>
      <c r="G219" s="257"/>
    </row>
    <row r="220" spans="1:7" s="10" customFormat="1" ht="12.75" customHeight="1" hidden="1">
      <c r="A220" s="32"/>
      <c r="B220" s="33"/>
      <c r="C220" s="34"/>
      <c r="D220" s="36"/>
      <c r="E220" s="36"/>
      <c r="F220" s="36"/>
      <c r="G220" s="257"/>
    </row>
    <row r="221" spans="1:7" s="10" customFormat="1" ht="18" customHeight="1" hidden="1">
      <c r="A221" s="32"/>
      <c r="B221" s="33"/>
      <c r="C221" s="34"/>
      <c r="D221" s="36"/>
      <c r="E221" s="5"/>
      <c r="F221" s="5"/>
      <c r="G221" s="262"/>
    </row>
    <row r="222" spans="1:7" s="10" customFormat="1" ht="15.75" customHeight="1" thickBot="1">
      <c r="A222" s="32"/>
      <c r="B222" s="33"/>
      <c r="C222" s="34"/>
      <c r="D222" s="36"/>
      <c r="E222" s="9"/>
      <c r="F222" s="9"/>
      <c r="G222" s="263"/>
    </row>
    <row r="223" spans="1:7" s="10" customFormat="1" ht="15.75">
      <c r="A223" s="242" t="s">
        <v>3</v>
      </c>
      <c r="B223" s="243" t="s">
        <v>4</v>
      </c>
      <c r="C223" s="244" t="s">
        <v>5</v>
      </c>
      <c r="D223" s="244" t="s">
        <v>6</v>
      </c>
      <c r="E223" s="244" t="s">
        <v>6</v>
      </c>
      <c r="F223" s="244" t="s">
        <v>7</v>
      </c>
      <c r="G223" s="258" t="s">
        <v>8</v>
      </c>
    </row>
    <row r="224" spans="1:7" s="10" customFormat="1" ht="15.75" customHeight="1" thickBot="1">
      <c r="A224" s="245"/>
      <c r="B224" s="246"/>
      <c r="C224" s="247"/>
      <c r="D224" s="248" t="s">
        <v>9</v>
      </c>
      <c r="E224" s="248" t="s">
        <v>10</v>
      </c>
      <c r="F224" s="248" t="s">
        <v>12</v>
      </c>
      <c r="G224" s="259" t="s">
        <v>13</v>
      </c>
    </row>
    <row r="225" spans="1:7" s="10" customFormat="1" ht="16.5" thickTop="1">
      <c r="A225" s="13">
        <v>60</v>
      </c>
      <c r="B225" s="14"/>
      <c r="C225" s="15" t="s">
        <v>157</v>
      </c>
      <c r="D225" s="38"/>
      <c r="E225" s="38"/>
      <c r="F225" s="38"/>
      <c r="G225" s="260"/>
    </row>
    <row r="226" spans="1:7" s="10" customFormat="1" ht="15.75">
      <c r="A226" s="17"/>
      <c r="B226" s="18"/>
      <c r="C226" s="17"/>
      <c r="D226" s="19"/>
      <c r="E226" s="19"/>
      <c r="F226" s="19"/>
      <c r="G226" s="254"/>
    </row>
    <row r="227" spans="1:7" s="10" customFormat="1" ht="15">
      <c r="A227" s="21"/>
      <c r="B227" s="20">
        <v>1014</v>
      </c>
      <c r="C227" s="21" t="s">
        <v>158</v>
      </c>
      <c r="D227" s="82">
        <v>663</v>
      </c>
      <c r="E227" s="82">
        <v>703</v>
      </c>
      <c r="F227" s="82">
        <v>324</v>
      </c>
      <c r="G227" s="254">
        <f aca="true" t="shared" si="6" ref="G227:G240">(F227/E227)*100</f>
        <v>46.088193456614505</v>
      </c>
    </row>
    <row r="228" spans="1:7" s="10" customFormat="1" ht="15" hidden="1">
      <c r="A228" s="80"/>
      <c r="B228" s="81">
        <v>1031</v>
      </c>
      <c r="C228" s="80" t="s">
        <v>159</v>
      </c>
      <c r="D228" s="83"/>
      <c r="E228" s="83"/>
      <c r="F228" s="83"/>
      <c r="G228" s="254" t="e">
        <f t="shared" si="6"/>
        <v>#DIV/0!</v>
      </c>
    </row>
    <row r="229" spans="1:7" s="10" customFormat="1" ht="15">
      <c r="A229" s="21"/>
      <c r="B229" s="20">
        <v>1036</v>
      </c>
      <c r="C229" s="21" t="s">
        <v>160</v>
      </c>
      <c r="D229" s="82">
        <v>0</v>
      </c>
      <c r="E229" s="82">
        <v>13.9</v>
      </c>
      <c r="F229" s="82">
        <v>13.8</v>
      </c>
      <c r="G229" s="254">
        <f t="shared" si="6"/>
        <v>99.28057553956835</v>
      </c>
    </row>
    <row r="230" spans="1:7" s="10" customFormat="1" ht="15" hidden="1">
      <c r="A230" s="80"/>
      <c r="B230" s="81">
        <v>1037</v>
      </c>
      <c r="C230" s="80" t="s">
        <v>161</v>
      </c>
      <c r="D230" s="83">
        <v>0</v>
      </c>
      <c r="E230" s="83">
        <v>0</v>
      </c>
      <c r="F230" s="83"/>
      <c r="G230" s="254" t="e">
        <f t="shared" si="6"/>
        <v>#DIV/0!</v>
      </c>
    </row>
    <row r="231" spans="1:7" s="10" customFormat="1" ht="15">
      <c r="A231" s="80"/>
      <c r="B231" s="81">
        <v>1039</v>
      </c>
      <c r="C231" s="80" t="s">
        <v>162</v>
      </c>
      <c r="D231" s="83">
        <v>10</v>
      </c>
      <c r="E231" s="83">
        <v>10</v>
      </c>
      <c r="F231" s="83">
        <v>10</v>
      </c>
      <c r="G231" s="254">
        <f t="shared" si="6"/>
        <v>100</v>
      </c>
    </row>
    <row r="232" spans="1:7" s="10" customFormat="1" ht="15" hidden="1">
      <c r="A232" s="21"/>
      <c r="B232" s="20">
        <v>2331</v>
      </c>
      <c r="C232" s="21" t="s">
        <v>163</v>
      </c>
      <c r="D232" s="82">
        <v>0</v>
      </c>
      <c r="E232" s="82">
        <v>0</v>
      </c>
      <c r="F232" s="82"/>
      <c r="G232" s="254" t="e">
        <f t="shared" si="6"/>
        <v>#DIV/0!</v>
      </c>
    </row>
    <row r="233" spans="1:7" s="10" customFormat="1" ht="15" hidden="1">
      <c r="A233" s="21"/>
      <c r="B233" s="20">
        <v>2339</v>
      </c>
      <c r="C233" s="21" t="s">
        <v>164</v>
      </c>
      <c r="D233" s="82">
        <v>0</v>
      </c>
      <c r="E233" s="82">
        <v>0</v>
      </c>
      <c r="F233" s="82"/>
      <c r="G233" s="254" t="e">
        <f t="shared" si="6"/>
        <v>#DIV/0!</v>
      </c>
    </row>
    <row r="234" spans="1:7" s="10" customFormat="1" ht="15" hidden="1">
      <c r="A234" s="21"/>
      <c r="B234" s="20">
        <v>2399</v>
      </c>
      <c r="C234" s="21" t="s">
        <v>165</v>
      </c>
      <c r="D234" s="82">
        <v>0</v>
      </c>
      <c r="E234" s="82">
        <v>0</v>
      </c>
      <c r="F234" s="82"/>
      <c r="G234" s="254" t="e">
        <f t="shared" si="6"/>
        <v>#DIV/0!</v>
      </c>
    </row>
    <row r="235" spans="1:7" s="10" customFormat="1" ht="15" hidden="1">
      <c r="A235" s="21"/>
      <c r="B235" s="20">
        <v>3728</v>
      </c>
      <c r="C235" s="21" t="s">
        <v>166</v>
      </c>
      <c r="D235" s="82"/>
      <c r="E235" s="82"/>
      <c r="F235" s="82"/>
      <c r="G235" s="254" t="e">
        <f t="shared" si="6"/>
        <v>#DIV/0!</v>
      </c>
    </row>
    <row r="236" spans="1:7" s="10" customFormat="1" ht="15" hidden="1">
      <c r="A236" s="80"/>
      <c r="B236" s="81">
        <v>3729</v>
      </c>
      <c r="C236" s="80" t="s">
        <v>167</v>
      </c>
      <c r="D236" s="83"/>
      <c r="E236" s="83"/>
      <c r="F236" s="83"/>
      <c r="G236" s="254" t="e">
        <f t="shared" si="6"/>
        <v>#DIV/0!</v>
      </c>
    </row>
    <row r="237" spans="1:7" s="10" customFormat="1" ht="15">
      <c r="A237" s="80"/>
      <c r="B237" s="81">
        <v>1070</v>
      </c>
      <c r="C237" s="80" t="s">
        <v>168</v>
      </c>
      <c r="D237" s="83">
        <v>20</v>
      </c>
      <c r="E237" s="83">
        <v>20</v>
      </c>
      <c r="F237" s="83">
        <v>0</v>
      </c>
      <c r="G237" s="254">
        <f t="shared" si="6"/>
        <v>0</v>
      </c>
    </row>
    <row r="238" spans="1:7" s="10" customFormat="1" ht="15">
      <c r="A238" s="80"/>
      <c r="B238" s="81">
        <v>3739</v>
      </c>
      <c r="C238" s="80" t="s">
        <v>169</v>
      </c>
      <c r="D238" s="82">
        <v>50</v>
      </c>
      <c r="E238" s="82">
        <v>10</v>
      </c>
      <c r="F238" s="82">
        <v>0</v>
      </c>
      <c r="G238" s="254">
        <f t="shared" si="6"/>
        <v>0</v>
      </c>
    </row>
    <row r="239" spans="1:7" s="10" customFormat="1" ht="15">
      <c r="A239" s="80"/>
      <c r="B239" s="81">
        <v>3741</v>
      </c>
      <c r="C239" s="80" t="s">
        <v>170</v>
      </c>
      <c r="D239" s="82">
        <v>50</v>
      </c>
      <c r="E239" s="82">
        <v>50</v>
      </c>
      <c r="F239" s="82">
        <v>0</v>
      </c>
      <c r="G239" s="254">
        <f t="shared" si="6"/>
        <v>0</v>
      </c>
    </row>
    <row r="240" spans="1:7" s="10" customFormat="1" ht="15">
      <c r="A240" s="21"/>
      <c r="B240" s="20">
        <v>3749</v>
      </c>
      <c r="C240" s="21" t="s">
        <v>171</v>
      </c>
      <c r="D240" s="83">
        <v>20</v>
      </c>
      <c r="E240" s="83">
        <v>20</v>
      </c>
      <c r="F240" s="83">
        <v>0</v>
      </c>
      <c r="G240" s="254">
        <f t="shared" si="6"/>
        <v>0</v>
      </c>
    </row>
    <row r="241" spans="1:7" s="10" customFormat="1" ht="15.75" thickBot="1">
      <c r="A241" s="24"/>
      <c r="B241" s="84"/>
      <c r="C241" s="24"/>
      <c r="D241" s="77"/>
      <c r="E241" s="77"/>
      <c r="F241" s="77"/>
      <c r="G241" s="264"/>
    </row>
    <row r="242" spans="1:7" s="10" customFormat="1" ht="18.75" customHeight="1" thickBot="1" thickTop="1">
      <c r="A242" s="28"/>
      <c r="B242" s="85"/>
      <c r="C242" s="86" t="s">
        <v>172</v>
      </c>
      <c r="D242" s="31">
        <f>SUM(D225:D241)</f>
        <v>813</v>
      </c>
      <c r="E242" s="31">
        <f>SUM(E225:E241)</f>
        <v>826.9</v>
      </c>
      <c r="F242" s="31">
        <f>SUM(F225:F241)</f>
        <v>347.8</v>
      </c>
      <c r="G242" s="256">
        <f>(F242/E242)*100</f>
        <v>42.060708670939654</v>
      </c>
    </row>
    <row r="243" spans="1:7" s="10" customFormat="1" ht="12.75" customHeight="1">
      <c r="A243" s="32"/>
      <c r="B243" s="33"/>
      <c r="C243" s="34"/>
      <c r="D243" s="36"/>
      <c r="E243" s="36"/>
      <c r="F243" s="36"/>
      <c r="G243" s="257"/>
    </row>
    <row r="244" spans="1:7" s="10" customFormat="1" ht="12.75" customHeight="1" hidden="1">
      <c r="A244" s="32"/>
      <c r="B244" s="33"/>
      <c r="C244" s="34"/>
      <c r="D244" s="36"/>
      <c r="E244" s="36"/>
      <c r="F244" s="36"/>
      <c r="G244" s="257"/>
    </row>
    <row r="245" spans="1:7" s="10" customFormat="1" ht="12.75" customHeight="1" hidden="1">
      <c r="A245" s="32"/>
      <c r="B245" s="33"/>
      <c r="C245" s="34"/>
      <c r="D245" s="36"/>
      <c r="E245" s="36"/>
      <c r="F245" s="36"/>
      <c r="G245" s="257"/>
    </row>
    <row r="246" spans="1:7" s="10" customFormat="1" ht="12.75" customHeight="1" hidden="1">
      <c r="A246" s="32"/>
      <c r="B246" s="33"/>
      <c r="C246" s="34"/>
      <c r="D246" s="36"/>
      <c r="E246" s="36"/>
      <c r="F246" s="36"/>
      <c r="G246" s="257"/>
    </row>
    <row r="247" spans="2:7" s="10" customFormat="1" ht="12.75" customHeight="1" hidden="1">
      <c r="B247" s="37"/>
      <c r="G247" s="241"/>
    </row>
    <row r="248" spans="2:7" s="10" customFormat="1" ht="12.75" customHeight="1">
      <c r="B248" s="37"/>
      <c r="G248" s="241"/>
    </row>
    <row r="249" spans="2:7" s="10" customFormat="1" ht="12.75" customHeight="1" thickBot="1">
      <c r="B249" s="37"/>
      <c r="G249" s="241"/>
    </row>
    <row r="250" spans="1:7" s="10" customFormat="1" ht="15.75">
      <c r="A250" s="242" t="s">
        <v>3</v>
      </c>
      <c r="B250" s="243" t="s">
        <v>4</v>
      </c>
      <c r="C250" s="244" t="s">
        <v>5</v>
      </c>
      <c r="D250" s="244" t="s">
        <v>6</v>
      </c>
      <c r="E250" s="244" t="s">
        <v>6</v>
      </c>
      <c r="F250" s="244" t="s">
        <v>7</v>
      </c>
      <c r="G250" s="258" t="s">
        <v>8</v>
      </c>
    </row>
    <row r="251" spans="1:7" s="10" customFormat="1" ht="15.75" customHeight="1" thickBot="1">
      <c r="A251" s="245"/>
      <c r="B251" s="246"/>
      <c r="C251" s="247"/>
      <c r="D251" s="248" t="s">
        <v>9</v>
      </c>
      <c r="E251" s="248" t="s">
        <v>10</v>
      </c>
      <c r="F251" s="248" t="s">
        <v>12</v>
      </c>
      <c r="G251" s="259" t="s">
        <v>13</v>
      </c>
    </row>
    <row r="252" spans="1:7" s="10" customFormat="1" ht="16.5" thickTop="1">
      <c r="A252" s="13">
        <v>80</v>
      </c>
      <c r="B252" s="13"/>
      <c r="C252" s="15" t="s">
        <v>173</v>
      </c>
      <c r="D252" s="38"/>
      <c r="E252" s="38"/>
      <c r="F252" s="38"/>
      <c r="G252" s="260"/>
    </row>
    <row r="253" spans="1:7" s="10" customFormat="1" ht="15.75">
      <c r="A253" s="17"/>
      <c r="B253" s="73"/>
      <c r="C253" s="17"/>
      <c r="D253" s="19"/>
      <c r="E253" s="19"/>
      <c r="F253" s="19"/>
      <c r="G253" s="254"/>
    </row>
    <row r="254" spans="1:7" s="10" customFormat="1" ht="15">
      <c r="A254" s="21"/>
      <c r="B254" s="62">
        <v>2219</v>
      </c>
      <c r="C254" s="21" t="s">
        <v>174</v>
      </c>
      <c r="D254" s="87">
        <v>70</v>
      </c>
      <c r="E254" s="82">
        <v>88</v>
      </c>
      <c r="F254" s="82">
        <v>71.7</v>
      </c>
      <c r="G254" s="254">
        <f aca="true" t="shared" si="7" ref="G254:G259">(F254/E254)*100</f>
        <v>81.47727272727273</v>
      </c>
    </row>
    <row r="255" spans="1:92" s="32" customFormat="1" ht="15">
      <c r="A255" s="21"/>
      <c r="B255" s="62">
        <v>2221</v>
      </c>
      <c r="C255" s="21" t="s">
        <v>175</v>
      </c>
      <c r="D255" s="87">
        <v>13802</v>
      </c>
      <c r="E255" s="82">
        <v>13669</v>
      </c>
      <c r="F255" s="82">
        <v>6579</v>
      </c>
      <c r="G255" s="254">
        <f t="shared" si="7"/>
        <v>48.130806935401274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</row>
    <row r="256" spans="1:92" s="32" customFormat="1" ht="15">
      <c r="A256" s="21"/>
      <c r="B256" s="62">
        <v>2221</v>
      </c>
      <c r="C256" s="21" t="s">
        <v>176</v>
      </c>
      <c r="D256" s="87">
        <v>0</v>
      </c>
      <c r="E256" s="82">
        <v>6400</v>
      </c>
      <c r="F256" s="82">
        <v>6400</v>
      </c>
      <c r="G256" s="254">
        <f t="shared" si="7"/>
        <v>100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</row>
    <row r="257" spans="1:92" s="32" customFormat="1" ht="15">
      <c r="A257" s="21"/>
      <c r="B257" s="62">
        <v>2232</v>
      </c>
      <c r="C257" s="21" t="s">
        <v>177</v>
      </c>
      <c r="D257" s="82">
        <v>135</v>
      </c>
      <c r="E257" s="82">
        <v>500</v>
      </c>
      <c r="F257" s="82">
        <v>350</v>
      </c>
      <c r="G257" s="254">
        <f t="shared" si="7"/>
        <v>70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</row>
    <row r="258" spans="1:92" s="32" customFormat="1" ht="15.75" thickBot="1">
      <c r="A258" s="23"/>
      <c r="B258" s="76">
        <v>6171</v>
      </c>
      <c r="C258" s="23" t="s">
        <v>178</v>
      </c>
      <c r="D258" s="19">
        <v>0</v>
      </c>
      <c r="E258" s="19">
        <v>0</v>
      </c>
      <c r="F258" s="19">
        <v>28.5</v>
      </c>
      <c r="G258" s="254" t="e">
        <f t="shared" si="7"/>
        <v>#DIV/0!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</row>
    <row r="259" spans="1:92" s="32" customFormat="1" ht="18.75" customHeight="1" thickBot="1" thickTop="1">
      <c r="A259" s="28"/>
      <c r="B259" s="88"/>
      <c r="C259" s="86" t="s">
        <v>179</v>
      </c>
      <c r="D259" s="31">
        <f>SUM(D254:D258)</f>
        <v>14007</v>
      </c>
      <c r="E259" s="31">
        <f>SUM(E254:E258)</f>
        <v>20657</v>
      </c>
      <c r="F259" s="31">
        <f>SUM(F254:F258)</f>
        <v>13429.2</v>
      </c>
      <c r="G259" s="256">
        <f t="shared" si="7"/>
        <v>65.01040809410854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</row>
    <row r="260" spans="2:92" s="32" customFormat="1" ht="15.75" customHeight="1">
      <c r="B260" s="33"/>
      <c r="C260" s="34"/>
      <c r="D260" s="36"/>
      <c r="E260" s="36"/>
      <c r="F260" s="36"/>
      <c r="G260" s="257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</row>
    <row r="261" spans="2:92" s="32" customFormat="1" ht="12.75" customHeight="1" hidden="1">
      <c r="B261" s="33"/>
      <c r="C261" s="34"/>
      <c r="D261" s="36"/>
      <c r="E261" s="36"/>
      <c r="F261" s="36"/>
      <c r="G261" s="257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</row>
    <row r="262" spans="2:92" s="32" customFormat="1" ht="12.75" customHeight="1" hidden="1">
      <c r="B262" s="33"/>
      <c r="C262" s="34"/>
      <c r="D262" s="36"/>
      <c r="E262" s="36"/>
      <c r="F262" s="36"/>
      <c r="G262" s="257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</row>
    <row r="263" spans="2:92" s="32" customFormat="1" ht="12.75" customHeight="1" hidden="1">
      <c r="B263" s="33"/>
      <c r="C263" s="34"/>
      <c r="D263" s="36"/>
      <c r="E263" s="36"/>
      <c r="F263" s="36"/>
      <c r="G263" s="257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</row>
    <row r="264" spans="2:92" s="32" customFormat="1" ht="12.75" customHeight="1" hidden="1">
      <c r="B264" s="33"/>
      <c r="C264" s="34"/>
      <c r="D264" s="36"/>
      <c r="E264" s="36"/>
      <c r="F264" s="36"/>
      <c r="G264" s="257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</row>
    <row r="265" spans="2:92" s="32" customFormat="1" ht="12.75" customHeight="1" hidden="1">
      <c r="B265" s="33"/>
      <c r="C265" s="34"/>
      <c r="D265" s="36"/>
      <c r="E265" s="36"/>
      <c r="F265" s="36"/>
      <c r="G265" s="257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</row>
    <row r="266" spans="2:92" s="32" customFormat="1" ht="12.75" customHeight="1" hidden="1">
      <c r="B266" s="33"/>
      <c r="C266" s="34"/>
      <c r="D266" s="36"/>
      <c r="E266" s="36"/>
      <c r="F266" s="36"/>
      <c r="G266" s="257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</row>
    <row r="267" spans="2:92" s="32" customFormat="1" ht="12.75" customHeight="1" hidden="1">
      <c r="B267" s="33"/>
      <c r="C267" s="34"/>
      <c r="D267" s="36"/>
      <c r="E267" s="36"/>
      <c r="F267" s="36"/>
      <c r="G267" s="257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</row>
    <row r="268" spans="2:92" s="32" customFormat="1" ht="15.75" customHeight="1">
      <c r="B268" s="33"/>
      <c r="C268" s="34"/>
      <c r="D268" s="36"/>
      <c r="E268" s="5"/>
      <c r="F268" s="5"/>
      <c r="G268" s="262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</row>
    <row r="269" spans="2:92" s="32" customFormat="1" ht="15.75" customHeight="1">
      <c r="B269" s="33"/>
      <c r="C269" s="34"/>
      <c r="D269" s="36"/>
      <c r="E269" s="36"/>
      <c r="F269" s="36"/>
      <c r="G269" s="257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</row>
    <row r="270" spans="2:92" s="32" customFormat="1" ht="15.75" customHeight="1" thickBot="1">
      <c r="B270" s="33"/>
      <c r="C270" s="34"/>
      <c r="D270" s="36"/>
      <c r="E270" s="9"/>
      <c r="F270" s="9"/>
      <c r="G270" s="263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</row>
    <row r="271" spans="1:92" s="32" customFormat="1" ht="15.75" customHeight="1">
      <c r="A271" s="242" t="s">
        <v>3</v>
      </c>
      <c r="B271" s="243" t="s">
        <v>4</v>
      </c>
      <c r="C271" s="244" t="s">
        <v>5</v>
      </c>
      <c r="D271" s="244" t="s">
        <v>6</v>
      </c>
      <c r="E271" s="244" t="s">
        <v>6</v>
      </c>
      <c r="F271" s="244" t="s">
        <v>7</v>
      </c>
      <c r="G271" s="258" t="s">
        <v>8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</row>
    <row r="272" spans="1:7" s="10" customFormat="1" ht="15.75" customHeight="1" thickBot="1">
      <c r="A272" s="245"/>
      <c r="B272" s="246"/>
      <c r="C272" s="247"/>
      <c r="D272" s="248" t="s">
        <v>9</v>
      </c>
      <c r="E272" s="248" t="s">
        <v>10</v>
      </c>
      <c r="F272" s="248" t="s">
        <v>12</v>
      </c>
      <c r="G272" s="259" t="s">
        <v>13</v>
      </c>
    </row>
    <row r="273" spans="1:7" s="10" customFormat="1" ht="16.5" thickTop="1">
      <c r="A273" s="13">
        <v>90</v>
      </c>
      <c r="B273" s="13"/>
      <c r="C273" s="15" t="s">
        <v>180</v>
      </c>
      <c r="D273" s="38"/>
      <c r="E273" s="38"/>
      <c r="F273" s="38"/>
      <c r="G273" s="260"/>
    </row>
    <row r="274" spans="1:7" s="10" customFormat="1" ht="15.75">
      <c r="A274" s="17"/>
      <c r="B274" s="73"/>
      <c r="C274" s="17"/>
      <c r="D274" s="19"/>
      <c r="E274" s="19"/>
      <c r="F274" s="19"/>
      <c r="G274" s="254"/>
    </row>
    <row r="275" spans="1:7" s="10" customFormat="1" ht="15">
      <c r="A275" s="21"/>
      <c r="B275" s="62">
        <v>5311</v>
      </c>
      <c r="C275" s="21" t="s">
        <v>181</v>
      </c>
      <c r="D275" s="19">
        <v>12000</v>
      </c>
      <c r="E275" s="19">
        <v>12000</v>
      </c>
      <c r="F275" s="19">
        <v>5227.4</v>
      </c>
      <c r="G275" s="254">
        <f>(F275/E275)*100</f>
        <v>43.56166666666667</v>
      </c>
    </row>
    <row r="276" spans="1:7" s="10" customFormat="1" ht="16.5" thickBot="1">
      <c r="A276" s="75"/>
      <c r="B276" s="75"/>
      <c r="C276" s="89"/>
      <c r="D276" s="90"/>
      <c r="E276" s="90"/>
      <c r="F276" s="90"/>
      <c r="G276" s="265"/>
    </row>
    <row r="277" spans="1:7" s="10" customFormat="1" ht="18.75" customHeight="1" thickBot="1" thickTop="1">
      <c r="A277" s="28"/>
      <c r="B277" s="88"/>
      <c r="C277" s="86" t="s">
        <v>182</v>
      </c>
      <c r="D277" s="31">
        <f>SUM(D273:D276)</f>
        <v>12000</v>
      </c>
      <c r="E277" s="31">
        <f>SUM(E273:E276)</f>
        <v>12000</v>
      </c>
      <c r="F277" s="31">
        <f>SUM(F273:F276)</f>
        <v>5227.4</v>
      </c>
      <c r="G277" s="256">
        <f>(F277/E277)*100</f>
        <v>43.56166666666667</v>
      </c>
    </row>
    <row r="278" spans="1:7" s="10" customFormat="1" ht="15.75" customHeight="1">
      <c r="A278" s="32"/>
      <c r="B278" s="33"/>
      <c r="C278" s="34"/>
      <c r="D278" s="36"/>
      <c r="E278" s="36"/>
      <c r="F278" s="36"/>
      <c r="G278" s="257"/>
    </row>
    <row r="279" spans="1:7" s="10" customFormat="1" ht="15.75" customHeight="1" thickBot="1">
      <c r="A279" s="32"/>
      <c r="B279" s="33"/>
      <c r="C279" s="34"/>
      <c r="D279" s="36"/>
      <c r="E279" s="36"/>
      <c r="F279" s="36"/>
      <c r="G279" s="257"/>
    </row>
    <row r="280" spans="1:92" s="32" customFormat="1" ht="15.75" customHeight="1">
      <c r="A280" s="242" t="s">
        <v>3</v>
      </c>
      <c r="B280" s="243" t="s">
        <v>4</v>
      </c>
      <c r="C280" s="244" t="s">
        <v>5</v>
      </c>
      <c r="D280" s="244" t="s">
        <v>6</v>
      </c>
      <c r="E280" s="244" t="s">
        <v>6</v>
      </c>
      <c r="F280" s="244" t="s">
        <v>7</v>
      </c>
      <c r="G280" s="258" t="s">
        <v>8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</row>
    <row r="281" spans="1:7" s="10" customFormat="1" ht="15.75" customHeight="1" thickBot="1">
      <c r="A281" s="245"/>
      <c r="B281" s="246"/>
      <c r="C281" s="247"/>
      <c r="D281" s="248" t="s">
        <v>9</v>
      </c>
      <c r="E281" s="248" t="s">
        <v>10</v>
      </c>
      <c r="F281" s="248" t="s">
        <v>12</v>
      </c>
      <c r="G281" s="259" t="s">
        <v>13</v>
      </c>
    </row>
    <row r="282" spans="1:7" s="10" customFormat="1" ht="16.5" thickTop="1">
      <c r="A282" s="13">
        <v>100</v>
      </c>
      <c r="B282" s="13"/>
      <c r="C282" s="15" t="s">
        <v>183</v>
      </c>
      <c r="D282" s="38"/>
      <c r="E282" s="38"/>
      <c r="F282" s="38"/>
      <c r="G282" s="260"/>
    </row>
    <row r="283" spans="1:7" s="10" customFormat="1" ht="15.75">
      <c r="A283" s="17"/>
      <c r="B283" s="73"/>
      <c r="C283" s="17"/>
      <c r="D283" s="19"/>
      <c r="E283" s="19"/>
      <c r="F283" s="19"/>
      <c r="G283" s="254"/>
    </row>
    <row r="284" spans="1:7" s="10" customFormat="1" ht="15">
      <c r="A284" s="21"/>
      <c r="B284" s="62">
        <v>3635</v>
      </c>
      <c r="C284" s="21" t="s">
        <v>184</v>
      </c>
      <c r="D284" s="82">
        <v>3400</v>
      </c>
      <c r="E284" s="82">
        <v>3400</v>
      </c>
      <c r="F284" s="82">
        <v>67.2</v>
      </c>
      <c r="G284" s="254">
        <f>(F284/E284)*100</f>
        <v>1.9764705882352942</v>
      </c>
    </row>
    <row r="285" spans="1:7" s="10" customFormat="1" ht="16.5" thickBot="1">
      <c r="A285" s="75"/>
      <c r="B285" s="253">
        <v>2169</v>
      </c>
      <c r="C285" s="152" t="s">
        <v>185</v>
      </c>
      <c r="D285" s="153">
        <v>150</v>
      </c>
      <c r="E285" s="153">
        <v>150</v>
      </c>
      <c r="F285" s="153">
        <v>0</v>
      </c>
      <c r="G285" s="254">
        <f>(F285/E285)*100</f>
        <v>0</v>
      </c>
    </row>
    <row r="286" spans="1:7" s="10" customFormat="1" ht="18.75" customHeight="1" thickBot="1" thickTop="1">
      <c r="A286" s="28"/>
      <c r="B286" s="88"/>
      <c r="C286" s="86" t="s">
        <v>182</v>
      </c>
      <c r="D286" s="31">
        <f>SUM(D282:D285)</f>
        <v>3550</v>
      </c>
      <c r="E286" s="31">
        <f>SUM(E282:E285)</f>
        <v>3550</v>
      </c>
      <c r="F286" s="31">
        <f>SUM(F282:F285)</f>
        <v>67.2</v>
      </c>
      <c r="G286" s="256">
        <f>(F286/E286)*100</f>
        <v>1.8929577464788734</v>
      </c>
    </row>
    <row r="287" spans="1:7" s="10" customFormat="1" ht="15.75" customHeight="1">
      <c r="A287" s="32"/>
      <c r="B287" s="33"/>
      <c r="C287" s="34"/>
      <c r="D287" s="36"/>
      <c r="E287" s="36"/>
      <c r="F287" s="36"/>
      <c r="G287" s="257"/>
    </row>
    <row r="288" spans="1:7" s="10" customFormat="1" ht="15.75" customHeight="1">
      <c r="A288" s="32"/>
      <c r="B288" s="33"/>
      <c r="C288" s="34"/>
      <c r="D288" s="36"/>
      <c r="E288" s="36"/>
      <c r="F288" s="36"/>
      <c r="G288" s="257"/>
    </row>
    <row r="289" spans="2:7" s="10" customFormat="1" ht="15.75" customHeight="1" thickBot="1">
      <c r="B289" s="37"/>
      <c r="G289" s="241"/>
    </row>
    <row r="290" spans="1:7" s="10" customFormat="1" ht="15.75">
      <c r="A290" s="242" t="s">
        <v>3</v>
      </c>
      <c r="B290" s="243" t="s">
        <v>4</v>
      </c>
      <c r="C290" s="244" t="s">
        <v>5</v>
      </c>
      <c r="D290" s="244" t="s">
        <v>6</v>
      </c>
      <c r="E290" s="244" t="s">
        <v>6</v>
      </c>
      <c r="F290" s="244" t="s">
        <v>7</v>
      </c>
      <c r="G290" s="258" t="s">
        <v>8</v>
      </c>
    </row>
    <row r="291" spans="1:7" s="10" customFormat="1" ht="15.75" customHeight="1" thickBot="1">
      <c r="A291" s="245"/>
      <c r="B291" s="246"/>
      <c r="C291" s="247"/>
      <c r="D291" s="248" t="s">
        <v>9</v>
      </c>
      <c r="E291" s="248" t="s">
        <v>10</v>
      </c>
      <c r="F291" s="248" t="s">
        <v>12</v>
      </c>
      <c r="G291" s="259" t="s">
        <v>13</v>
      </c>
    </row>
    <row r="292" spans="1:7" s="10" customFormat="1" ht="16.5" thickTop="1">
      <c r="A292" s="13">
        <v>110</v>
      </c>
      <c r="B292" s="13"/>
      <c r="C292" s="15" t="s">
        <v>186</v>
      </c>
      <c r="D292" s="38"/>
      <c r="E292" s="38"/>
      <c r="F292" s="38"/>
      <c r="G292" s="260"/>
    </row>
    <row r="293" spans="1:7" s="10" customFormat="1" ht="15" customHeight="1">
      <c r="A293" s="17"/>
      <c r="B293" s="73"/>
      <c r="C293" s="17"/>
      <c r="D293" s="19"/>
      <c r="E293" s="19"/>
      <c r="F293" s="19"/>
      <c r="G293" s="254"/>
    </row>
    <row r="294" spans="1:7" s="10" customFormat="1" ht="15" hidden="1">
      <c r="A294" s="21"/>
      <c r="B294" s="62">
        <v>3611</v>
      </c>
      <c r="C294" s="21" t="s">
        <v>187</v>
      </c>
      <c r="D294" s="19"/>
      <c r="E294" s="19"/>
      <c r="F294" s="19"/>
      <c r="G294" s="254"/>
    </row>
    <row r="295" spans="1:7" s="10" customFormat="1" ht="15">
      <c r="A295" s="21"/>
      <c r="B295" s="62">
        <v>6310</v>
      </c>
      <c r="C295" s="21" t="s">
        <v>188</v>
      </c>
      <c r="D295" s="19">
        <v>4226</v>
      </c>
      <c r="E295" s="19">
        <v>4226</v>
      </c>
      <c r="F295" s="19">
        <v>2136.8</v>
      </c>
      <c r="G295" s="254">
        <f>(F295/E295)*100</f>
        <v>50.56318031235211</v>
      </c>
    </row>
    <row r="296" spans="1:7" s="10" customFormat="1" ht="15">
      <c r="A296" s="21"/>
      <c r="B296" s="62">
        <v>6399</v>
      </c>
      <c r="C296" s="21" t="s">
        <v>189</v>
      </c>
      <c r="D296" s="19">
        <v>77850</v>
      </c>
      <c r="E296" s="19">
        <v>80600</v>
      </c>
      <c r="F296" s="19">
        <v>75728.3</v>
      </c>
      <c r="G296" s="254">
        <f>(F296/E296)*100</f>
        <v>93.95570719602978</v>
      </c>
    </row>
    <row r="297" spans="1:7" s="10" customFormat="1" ht="15">
      <c r="A297" s="21"/>
      <c r="B297" s="62">
        <v>6402</v>
      </c>
      <c r="C297" s="21" t="s">
        <v>190</v>
      </c>
      <c r="D297" s="19">
        <v>0</v>
      </c>
      <c r="E297" s="19">
        <v>5762.3</v>
      </c>
      <c r="F297" s="19">
        <v>5762.1</v>
      </c>
      <c r="G297" s="254">
        <f>(F297/E297)*100</f>
        <v>99.996529163702</v>
      </c>
    </row>
    <row r="298" spans="1:7" s="10" customFormat="1" ht="15">
      <c r="A298" s="21"/>
      <c r="B298" s="62">
        <v>6409</v>
      </c>
      <c r="C298" s="21" t="s">
        <v>191</v>
      </c>
      <c r="D298" s="19">
        <v>0</v>
      </c>
      <c r="E298" s="19">
        <v>0</v>
      </c>
      <c r="F298" s="19">
        <v>33.5</v>
      </c>
      <c r="G298" s="254" t="e">
        <f>(F298/E298)*100</f>
        <v>#DIV/0!</v>
      </c>
    </row>
    <row r="299" spans="1:7" s="42" customFormat="1" ht="20.25" customHeight="1">
      <c r="A299" s="15"/>
      <c r="B299" s="13">
        <v>6409</v>
      </c>
      <c r="C299" s="15" t="s">
        <v>192</v>
      </c>
      <c r="D299" s="45">
        <v>0</v>
      </c>
      <c r="E299" s="45">
        <v>1082</v>
      </c>
      <c r="F299" s="45">
        <v>0</v>
      </c>
      <c r="G299" s="254">
        <f>(F299/E299)*100</f>
        <v>0</v>
      </c>
    </row>
    <row r="300" spans="1:7" s="10" customFormat="1" ht="15.75" thickBot="1">
      <c r="A300" s="23"/>
      <c r="B300" s="76"/>
      <c r="C300" s="23"/>
      <c r="D300" s="91"/>
      <c r="E300" s="91"/>
      <c r="F300" s="91"/>
      <c r="G300" s="266"/>
    </row>
    <row r="301" spans="1:7" s="10" customFormat="1" ht="18.75" customHeight="1" thickBot="1" thickTop="1">
      <c r="A301" s="28"/>
      <c r="B301" s="88"/>
      <c r="C301" s="86" t="s">
        <v>193</v>
      </c>
      <c r="D301" s="92">
        <f>SUM(D293:D299)</f>
        <v>82076</v>
      </c>
      <c r="E301" s="92">
        <f>SUM(E293:E299)</f>
        <v>91670.3</v>
      </c>
      <c r="F301" s="92">
        <f>SUM(F293:F299)</f>
        <v>83660.70000000001</v>
      </c>
      <c r="G301" s="256">
        <f>(F301/E301)*100</f>
        <v>91.26260086418394</v>
      </c>
    </row>
    <row r="302" spans="1:7" s="10" customFormat="1" ht="18.75" customHeight="1">
      <c r="A302" s="32"/>
      <c r="B302" s="33"/>
      <c r="C302" s="34"/>
      <c r="D302" s="36"/>
      <c r="E302" s="36"/>
      <c r="F302" s="36"/>
      <c r="G302" s="257"/>
    </row>
    <row r="303" spans="1:7" s="10" customFormat="1" ht="13.5" customHeight="1" hidden="1">
      <c r="A303" s="32"/>
      <c r="B303" s="33"/>
      <c r="C303" s="34"/>
      <c r="D303" s="36"/>
      <c r="E303" s="36"/>
      <c r="F303" s="36"/>
      <c r="G303" s="257"/>
    </row>
    <row r="304" spans="1:7" s="10" customFormat="1" ht="13.5" customHeight="1" hidden="1">
      <c r="A304" s="32"/>
      <c r="B304" s="33"/>
      <c r="C304" s="34"/>
      <c r="D304" s="36"/>
      <c r="E304" s="36"/>
      <c r="F304" s="36"/>
      <c r="G304" s="257"/>
    </row>
    <row r="305" spans="1:7" s="10" customFormat="1" ht="13.5" customHeight="1" hidden="1">
      <c r="A305" s="32"/>
      <c r="B305" s="33"/>
      <c r="C305" s="34"/>
      <c r="D305" s="36"/>
      <c r="E305" s="36"/>
      <c r="F305" s="36"/>
      <c r="G305" s="257"/>
    </row>
    <row r="306" spans="1:7" s="10" customFormat="1" ht="13.5" customHeight="1" hidden="1">
      <c r="A306" s="32"/>
      <c r="B306" s="33"/>
      <c r="C306" s="34"/>
      <c r="D306" s="36"/>
      <c r="E306" s="36"/>
      <c r="F306" s="36"/>
      <c r="G306" s="257"/>
    </row>
    <row r="307" spans="1:7" s="10" customFormat="1" ht="13.5" customHeight="1" hidden="1">
      <c r="A307" s="32"/>
      <c r="B307" s="33"/>
      <c r="C307" s="34"/>
      <c r="D307" s="36"/>
      <c r="E307" s="36"/>
      <c r="F307" s="36"/>
      <c r="G307" s="257"/>
    </row>
    <row r="308" spans="1:7" s="10" customFormat="1" ht="16.5" customHeight="1">
      <c r="A308" s="32"/>
      <c r="B308" s="33"/>
      <c r="C308" s="34"/>
      <c r="D308" s="36"/>
      <c r="E308" s="36"/>
      <c r="F308" s="36"/>
      <c r="G308" s="257"/>
    </row>
    <row r="309" spans="1:7" s="10" customFormat="1" ht="15.75" customHeight="1" thickBot="1">
      <c r="A309" s="32"/>
      <c r="B309" s="33"/>
      <c r="C309" s="34"/>
      <c r="D309" s="36"/>
      <c r="E309" s="36"/>
      <c r="F309" s="36"/>
      <c r="G309" s="257"/>
    </row>
    <row r="310" spans="1:7" s="10" customFormat="1" ht="15.75">
      <c r="A310" s="242" t="s">
        <v>3</v>
      </c>
      <c r="B310" s="243" t="s">
        <v>4</v>
      </c>
      <c r="C310" s="244" t="s">
        <v>5</v>
      </c>
      <c r="D310" s="244" t="s">
        <v>6</v>
      </c>
      <c r="E310" s="244" t="s">
        <v>6</v>
      </c>
      <c r="F310" s="244" t="s">
        <v>7</v>
      </c>
      <c r="G310" s="258" t="s">
        <v>8</v>
      </c>
    </row>
    <row r="311" spans="1:7" s="10" customFormat="1" ht="15.75" customHeight="1" thickBot="1">
      <c r="A311" s="245"/>
      <c r="B311" s="246"/>
      <c r="C311" s="247"/>
      <c r="D311" s="248" t="s">
        <v>9</v>
      </c>
      <c r="E311" s="248" t="s">
        <v>10</v>
      </c>
      <c r="F311" s="248" t="s">
        <v>12</v>
      </c>
      <c r="G311" s="259" t="s">
        <v>13</v>
      </c>
    </row>
    <row r="312" spans="1:7" s="10" customFormat="1" ht="16.5" thickTop="1">
      <c r="A312" s="13">
        <v>120</v>
      </c>
      <c r="B312" s="13"/>
      <c r="C312" s="15" t="s">
        <v>194</v>
      </c>
      <c r="D312" s="38"/>
      <c r="E312" s="38"/>
      <c r="F312" s="38"/>
      <c r="G312" s="260"/>
    </row>
    <row r="313" spans="1:7" s="10" customFormat="1" ht="15" customHeight="1">
      <c r="A313" s="17"/>
      <c r="B313" s="73"/>
      <c r="C313" s="17"/>
      <c r="D313" s="19"/>
      <c r="E313" s="19"/>
      <c r="F313" s="19"/>
      <c r="G313" s="254"/>
    </row>
    <row r="314" spans="1:7" s="10" customFormat="1" ht="15.75">
      <c r="A314" s="17"/>
      <c r="B314" s="62">
        <v>2310</v>
      </c>
      <c r="C314" s="21" t="s">
        <v>195</v>
      </c>
      <c r="D314" s="77">
        <v>30</v>
      </c>
      <c r="E314" s="77">
        <v>30</v>
      </c>
      <c r="F314" s="77">
        <v>14.4</v>
      </c>
      <c r="G314" s="254">
        <f aca="true" t="shared" si="8" ref="G314:G323">(F314/E314)*100</f>
        <v>48.00000000000001</v>
      </c>
    </row>
    <row r="315" spans="1:7" s="10" customFormat="1" ht="15.75" hidden="1">
      <c r="A315" s="17"/>
      <c r="B315" s="62">
        <v>2321</v>
      </c>
      <c r="C315" s="21" t="s">
        <v>196</v>
      </c>
      <c r="D315" s="77">
        <v>0</v>
      </c>
      <c r="E315" s="77">
        <v>0</v>
      </c>
      <c r="F315" s="77"/>
      <c r="G315" s="254" t="e">
        <f t="shared" si="8"/>
        <v>#DIV/0!</v>
      </c>
    </row>
    <row r="316" spans="1:7" s="10" customFormat="1" ht="15">
      <c r="A316" s="21"/>
      <c r="B316" s="62">
        <v>3612</v>
      </c>
      <c r="C316" s="21" t="s">
        <v>197</v>
      </c>
      <c r="D316" s="19">
        <f>17099-15480</f>
        <v>1619</v>
      </c>
      <c r="E316" s="19">
        <f>17099-15480</f>
        <v>1619</v>
      </c>
      <c r="F316" s="19">
        <f>10744.4-8700-1500</f>
        <v>544.3999999999996</v>
      </c>
      <c r="G316" s="254">
        <f t="shared" si="8"/>
        <v>33.625694873378606</v>
      </c>
    </row>
    <row r="317" spans="1:7" s="10" customFormat="1" ht="15">
      <c r="A317" s="21"/>
      <c r="B317" s="62">
        <v>3612</v>
      </c>
      <c r="C317" s="21" t="s">
        <v>198</v>
      </c>
      <c r="D317" s="19">
        <v>15480</v>
      </c>
      <c r="E317" s="19">
        <v>15480</v>
      </c>
      <c r="F317" s="19">
        <v>8700</v>
      </c>
      <c r="G317" s="254">
        <f t="shared" si="8"/>
        <v>56.201550387596896</v>
      </c>
    </row>
    <row r="318" spans="1:7" s="10" customFormat="1" ht="15">
      <c r="A318" s="21"/>
      <c r="B318" s="62">
        <v>3612</v>
      </c>
      <c r="C318" s="21" t="s">
        <v>199</v>
      </c>
      <c r="D318" s="19">
        <v>0</v>
      </c>
      <c r="E318" s="19">
        <v>1500</v>
      </c>
      <c r="F318" s="19">
        <v>1500</v>
      </c>
      <c r="G318" s="254">
        <f t="shared" si="8"/>
        <v>100</v>
      </c>
    </row>
    <row r="319" spans="1:7" s="10" customFormat="1" ht="15">
      <c r="A319" s="21"/>
      <c r="B319" s="62">
        <v>3634</v>
      </c>
      <c r="C319" s="21" t="s">
        <v>200</v>
      </c>
      <c r="D319" s="19">
        <v>1200</v>
      </c>
      <c r="E319" s="19">
        <v>1200</v>
      </c>
      <c r="F319" s="19">
        <v>660.8</v>
      </c>
      <c r="G319" s="254">
        <f t="shared" si="8"/>
        <v>55.06666666666666</v>
      </c>
    </row>
    <row r="320" spans="1:7" s="10" customFormat="1" ht="15">
      <c r="A320" s="21"/>
      <c r="B320" s="62">
        <v>3639</v>
      </c>
      <c r="C320" s="21" t="s">
        <v>201</v>
      </c>
      <c r="D320" s="19">
        <f>6570-6000</f>
        <v>570</v>
      </c>
      <c r="E320" s="19">
        <f>9570-9000</f>
        <v>570</v>
      </c>
      <c r="F320" s="19">
        <f>490.9-366.2</f>
        <v>124.69999999999999</v>
      </c>
      <c r="G320" s="254">
        <f t="shared" si="8"/>
        <v>21.87719298245614</v>
      </c>
    </row>
    <row r="321" spans="1:7" s="10" customFormat="1" ht="15" hidden="1">
      <c r="A321" s="21"/>
      <c r="B321" s="62">
        <v>3639</v>
      </c>
      <c r="C321" s="21" t="s">
        <v>202</v>
      </c>
      <c r="D321" s="19">
        <v>0</v>
      </c>
      <c r="E321" s="19">
        <v>0</v>
      </c>
      <c r="F321" s="19"/>
      <c r="G321" s="254" t="e">
        <f t="shared" si="8"/>
        <v>#DIV/0!</v>
      </c>
    </row>
    <row r="322" spans="1:7" s="10" customFormat="1" ht="15">
      <c r="A322" s="21"/>
      <c r="B322" s="62">
        <v>3639</v>
      </c>
      <c r="C322" s="21" t="s">
        <v>203</v>
      </c>
      <c r="D322" s="19">
        <v>6000</v>
      </c>
      <c r="E322" s="19">
        <v>9000</v>
      </c>
      <c r="F322" s="19">
        <v>366.2</v>
      </c>
      <c r="G322" s="254">
        <f t="shared" si="8"/>
        <v>4.068888888888889</v>
      </c>
    </row>
    <row r="323" spans="1:7" s="10" customFormat="1" ht="15">
      <c r="A323" s="21"/>
      <c r="B323" s="62">
        <v>3729</v>
      </c>
      <c r="C323" s="21" t="s">
        <v>204</v>
      </c>
      <c r="D323" s="19">
        <v>101</v>
      </c>
      <c r="E323" s="19">
        <v>101</v>
      </c>
      <c r="F323" s="19">
        <v>0.5</v>
      </c>
      <c r="G323" s="254">
        <f t="shared" si="8"/>
        <v>0.49504950495049505</v>
      </c>
    </row>
    <row r="324" spans="1:7" s="10" customFormat="1" ht="12.75" customHeight="1" thickBot="1">
      <c r="A324" s="75"/>
      <c r="B324" s="75"/>
      <c r="C324" s="89"/>
      <c r="D324" s="91"/>
      <c r="E324" s="91"/>
      <c r="F324" s="91"/>
      <c r="G324" s="266"/>
    </row>
    <row r="325" spans="1:7" s="10" customFormat="1" ht="18.75" customHeight="1" thickBot="1" thickTop="1">
      <c r="A325" s="93"/>
      <c r="B325" s="88"/>
      <c r="C325" s="86" t="s">
        <v>205</v>
      </c>
      <c r="D325" s="92">
        <f>SUM(D314:D323)</f>
        <v>25000</v>
      </c>
      <c r="E325" s="92">
        <f>SUM(E314:E323)</f>
        <v>29500</v>
      </c>
      <c r="F325" s="92">
        <f>SUM(F314:F323)</f>
        <v>11911</v>
      </c>
      <c r="G325" s="256">
        <f>(F325/E325)*100</f>
        <v>40.376271186440675</v>
      </c>
    </row>
    <row r="326" spans="1:7" s="10" customFormat="1" ht="15.75" customHeight="1">
      <c r="A326" s="32"/>
      <c r="B326" s="33"/>
      <c r="C326" s="34"/>
      <c r="D326" s="36"/>
      <c r="E326" s="36"/>
      <c r="F326" s="36"/>
      <c r="G326" s="257"/>
    </row>
    <row r="327" spans="1:7" s="10" customFormat="1" ht="15.75" customHeight="1">
      <c r="A327" s="32"/>
      <c r="B327" s="33"/>
      <c r="C327" s="34"/>
      <c r="D327" s="36"/>
      <c r="E327" s="36"/>
      <c r="F327" s="36"/>
      <c r="G327" s="257"/>
    </row>
    <row r="328" s="10" customFormat="1" ht="15.75" customHeight="1" thickBot="1">
      <c r="G328" s="241"/>
    </row>
    <row r="329" spans="1:7" s="10" customFormat="1" ht="15.75">
      <c r="A329" s="242" t="s">
        <v>3</v>
      </c>
      <c r="B329" s="243" t="s">
        <v>4</v>
      </c>
      <c r="C329" s="244" t="s">
        <v>5</v>
      </c>
      <c r="D329" s="244" t="s">
        <v>6</v>
      </c>
      <c r="E329" s="244" t="s">
        <v>6</v>
      </c>
      <c r="F329" s="244" t="s">
        <v>7</v>
      </c>
      <c r="G329" s="258" t="s">
        <v>8</v>
      </c>
    </row>
    <row r="330" spans="1:7" s="10" customFormat="1" ht="15.75" customHeight="1" thickBot="1">
      <c r="A330" s="245"/>
      <c r="B330" s="246"/>
      <c r="C330" s="247"/>
      <c r="D330" s="248" t="s">
        <v>9</v>
      </c>
      <c r="E330" s="248" t="s">
        <v>10</v>
      </c>
      <c r="F330" s="248" t="s">
        <v>12</v>
      </c>
      <c r="G330" s="259" t="s">
        <v>13</v>
      </c>
    </row>
    <row r="331" spans="1:7" s="10" customFormat="1" ht="38.25" customHeight="1" thickBot="1" thickTop="1">
      <c r="A331" s="86"/>
      <c r="B331" s="94"/>
      <c r="C331" s="95" t="s">
        <v>206</v>
      </c>
      <c r="D331" s="96">
        <f>SUM(D35,D138,D166,D209,D242,D259,D277,D286,D301,D325)</f>
        <v>638702</v>
      </c>
      <c r="E331" s="96">
        <f>SUM(E35,E138,E166,E209,E242,E259,E277,E286,E301,E325)</f>
        <v>803241.5000000001</v>
      </c>
      <c r="F331" s="96">
        <f>SUM(F35,F138,F166,F209,F242,F259,F277,F286,F301,F325)</f>
        <v>417992.9000000001</v>
      </c>
      <c r="G331" s="267">
        <f>(F331/E331)*100</f>
        <v>52.03825997536234</v>
      </c>
    </row>
    <row r="332" spans="1:7" ht="15">
      <c r="A332" s="97"/>
      <c r="B332" s="97"/>
      <c r="C332" s="97"/>
      <c r="D332" s="97"/>
      <c r="E332" s="97"/>
      <c r="F332" s="97"/>
      <c r="G332" s="97"/>
    </row>
    <row r="333" spans="1:7" ht="15" hidden="1">
      <c r="A333" s="97"/>
      <c r="B333" s="97"/>
      <c r="C333" s="97"/>
      <c r="D333" s="97"/>
      <c r="E333" s="97"/>
      <c r="F333" s="97"/>
      <c r="G333" s="97"/>
    </row>
    <row r="334" spans="1:7" ht="15" hidden="1">
      <c r="A334" s="97"/>
      <c r="B334" s="97"/>
      <c r="C334" s="97" t="s">
        <v>207</v>
      </c>
      <c r="D334" s="98"/>
      <c r="E334" s="98"/>
      <c r="F334" s="98"/>
      <c r="G334" s="98"/>
    </row>
    <row r="335" spans="1:7" ht="15" hidden="1">
      <c r="A335" s="97"/>
      <c r="B335" s="97"/>
      <c r="C335" s="97"/>
      <c r="D335" s="99">
        <f>SUM(D58,D59,D134,D321,D322)</f>
        <v>87500</v>
      </c>
      <c r="E335" s="99">
        <f>SUM(E58,E59,E134,E321,E322)</f>
        <v>191954</v>
      </c>
      <c r="F335" s="99">
        <f>SUM(F58,F59,F134,F321,F322)</f>
        <v>72405.4</v>
      </c>
      <c r="G335" s="99" t="e">
        <f>SUM(G58,G59,G134,G321,G322)</f>
        <v>#DIV/0!</v>
      </c>
    </row>
    <row r="336" spans="1:7" ht="15" hidden="1">
      <c r="A336" s="97"/>
      <c r="B336" s="97"/>
      <c r="C336" s="97"/>
      <c r="D336" s="97"/>
      <c r="E336" s="97"/>
      <c r="F336" s="97"/>
      <c r="G336" s="97"/>
    </row>
    <row r="337" spans="1:7" ht="15" hidden="1">
      <c r="A337" s="97"/>
      <c r="B337" s="97"/>
      <c r="C337" s="97"/>
      <c r="D337" s="97"/>
      <c r="E337" s="97"/>
      <c r="F337" s="97"/>
      <c r="G337" s="97"/>
    </row>
    <row r="338" spans="1:7" ht="15">
      <c r="A338" s="97"/>
      <c r="B338" s="97"/>
      <c r="C338" s="97"/>
      <c r="D338" s="97"/>
      <c r="E338" s="97"/>
      <c r="F338" s="97"/>
      <c r="G338" s="97"/>
    </row>
    <row r="339" spans="1:7" ht="15">
      <c r="A339" s="97"/>
      <c r="B339" s="97"/>
      <c r="C339" s="97"/>
      <c r="D339" s="97"/>
      <c r="E339" s="97"/>
      <c r="F339" s="97"/>
      <c r="G339" s="97"/>
    </row>
    <row r="340" spans="1:7" ht="15">
      <c r="A340" s="97"/>
      <c r="B340" s="97"/>
      <c r="C340" s="97"/>
      <c r="D340" s="97"/>
      <c r="E340" s="97"/>
      <c r="F340" s="97"/>
      <c r="G340" s="97"/>
    </row>
    <row r="341" spans="1:7" ht="15">
      <c r="A341" s="97"/>
      <c r="B341" s="97"/>
      <c r="C341" s="97"/>
      <c r="D341" s="97"/>
      <c r="E341" s="97"/>
      <c r="F341" s="97"/>
      <c r="G341" s="97"/>
    </row>
    <row r="342" spans="1:7" ht="15">
      <c r="A342" s="97"/>
      <c r="B342" s="97"/>
      <c r="C342" s="97"/>
      <c r="D342" s="97"/>
      <c r="E342" s="97"/>
      <c r="F342" s="97"/>
      <c r="G342" s="97"/>
    </row>
    <row r="343" spans="1:7" ht="15">
      <c r="A343" s="97"/>
      <c r="B343" s="97"/>
      <c r="C343" s="97"/>
      <c r="D343" s="97"/>
      <c r="E343" s="97"/>
      <c r="F343" s="97"/>
      <c r="G343" s="97"/>
    </row>
    <row r="344" spans="1:7" ht="15">
      <c r="A344" s="97"/>
      <c r="B344" s="97"/>
      <c r="C344" s="97"/>
      <c r="D344" s="97"/>
      <c r="E344" s="97"/>
      <c r="F344" s="97"/>
      <c r="G344" s="97"/>
    </row>
    <row r="345" spans="1:7" ht="15">
      <c r="A345" s="97"/>
      <c r="B345" s="97"/>
      <c r="C345" s="97"/>
      <c r="D345" s="97"/>
      <c r="E345" s="97"/>
      <c r="F345" s="97"/>
      <c r="G345" s="97"/>
    </row>
    <row r="346" spans="1:7" ht="15">
      <c r="A346" s="97"/>
      <c r="B346" s="97"/>
      <c r="C346" s="97"/>
      <c r="D346" s="97"/>
      <c r="E346" s="97"/>
      <c r="F346" s="97"/>
      <c r="G346" s="97"/>
    </row>
    <row r="347" spans="1:7" ht="15">
      <c r="A347" s="97"/>
      <c r="B347" s="97"/>
      <c r="C347" s="97"/>
      <c r="D347" s="97"/>
      <c r="E347" s="97"/>
      <c r="F347" s="97"/>
      <c r="G347" s="97"/>
    </row>
    <row r="348" spans="1:7" ht="15">
      <c r="A348" s="97"/>
      <c r="B348" s="97"/>
      <c r="C348" s="97"/>
      <c r="D348" s="97"/>
      <c r="E348" s="97"/>
      <c r="F348" s="97"/>
      <c r="G348" s="97"/>
    </row>
    <row r="349" spans="1:7" ht="15">
      <c r="A349" s="97"/>
      <c r="B349" s="97"/>
      <c r="C349" s="97"/>
      <c r="D349" s="97"/>
      <c r="E349" s="97"/>
      <c r="F349" s="97"/>
      <c r="G349" s="97"/>
    </row>
    <row r="350" spans="1:7" ht="15">
      <c r="A350" s="97"/>
      <c r="B350" s="97"/>
      <c r="C350" s="97"/>
      <c r="D350" s="97"/>
      <c r="E350" s="97"/>
      <c r="F350" s="97"/>
      <c r="G350" s="97"/>
    </row>
    <row r="351" spans="1:7" ht="15">
      <c r="A351" s="97"/>
      <c r="B351" s="97"/>
      <c r="C351" s="97"/>
      <c r="D351" s="97"/>
      <c r="E351" s="97"/>
      <c r="F351" s="97"/>
      <c r="G351" s="97"/>
    </row>
    <row r="352" spans="1:7" ht="15">
      <c r="A352" s="97"/>
      <c r="B352" s="97"/>
      <c r="C352" s="97"/>
      <c r="D352" s="97"/>
      <c r="E352" s="97"/>
      <c r="F352" s="97"/>
      <c r="G352" s="97"/>
    </row>
    <row r="353" spans="1:7" ht="15">
      <c r="A353" s="97"/>
      <c r="B353" s="97"/>
      <c r="C353" s="97"/>
      <c r="D353" s="97"/>
      <c r="E353" s="97"/>
      <c r="F353" s="97"/>
      <c r="G353" s="97"/>
    </row>
    <row r="354" spans="1:7" ht="15">
      <c r="A354" s="97"/>
      <c r="B354" s="97"/>
      <c r="C354" s="97"/>
      <c r="D354" s="97"/>
      <c r="E354" s="97"/>
      <c r="F354" s="97"/>
      <c r="G354" s="97"/>
    </row>
  </sheetData>
  <sheetProtection/>
  <mergeCells count="1">
    <mergeCell ref="A3:C3"/>
  </mergeCells>
  <printOptions/>
  <pageMargins left="0.52" right="0.31496062992125984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zoomScalePageLayoutView="0" workbookViewId="0" topLeftCell="A1">
      <selection activeCell="E26" sqref="E26"/>
    </sheetView>
  </sheetViews>
  <sheetFormatPr defaultColWidth="10.421875" defaultRowHeight="12.75"/>
  <cols>
    <col min="1" max="1" width="12.140625" style="411" customWidth="1"/>
    <col min="2" max="2" width="18.28125" style="411" hidden="1" customWidth="1"/>
    <col min="3" max="3" width="17.28125" style="411" hidden="1" customWidth="1"/>
    <col min="4" max="4" width="14.57421875" style="411" customWidth="1"/>
    <col min="5" max="5" width="87.140625" style="411" customWidth="1"/>
    <col min="6" max="6" width="8.421875" style="411" customWidth="1"/>
    <col min="7" max="7" width="12.8515625" style="411" hidden="1" customWidth="1"/>
    <col min="8" max="8" width="14.00390625" style="411" hidden="1" customWidth="1"/>
    <col min="9" max="9" width="11.140625" style="411" bestFit="1" customWidth="1"/>
    <col min="10" max="16384" width="10.421875" style="411" customWidth="1"/>
  </cols>
  <sheetData>
    <row r="2" spans="1:8" ht="15">
      <c r="A2" s="429" t="s">
        <v>562</v>
      </c>
      <c r="B2" s="429"/>
      <c r="C2" s="429"/>
      <c r="D2" s="429"/>
      <c r="E2" s="429"/>
      <c r="F2" s="429"/>
      <c r="G2" s="429"/>
      <c r="H2" s="429"/>
    </row>
    <row r="3" spans="1:8" ht="12" customHeight="1">
      <c r="A3" s="410"/>
      <c r="B3" s="410"/>
      <c r="C3" s="410"/>
      <c r="D3" s="410"/>
      <c r="E3" s="410"/>
      <c r="F3" s="410"/>
      <c r="G3" s="410"/>
      <c r="H3" s="410"/>
    </row>
    <row r="4" spans="4:8" ht="12.75">
      <c r="D4" s="430" t="s">
        <v>441</v>
      </c>
      <c r="E4" s="430"/>
      <c r="F4" s="430"/>
      <c r="G4" s="430"/>
      <c r="H4" s="430"/>
    </row>
    <row r="5" spans="1:8" ht="20.25" customHeight="1">
      <c r="A5" s="412" t="s">
        <v>563</v>
      </c>
      <c r="B5" s="412" t="s">
        <v>564</v>
      </c>
      <c r="C5" s="412" t="s">
        <v>565</v>
      </c>
      <c r="D5" s="412" t="s">
        <v>566</v>
      </c>
      <c r="E5" s="412" t="s">
        <v>567</v>
      </c>
      <c r="F5" s="412" t="s">
        <v>3</v>
      </c>
      <c r="G5" s="412" t="s">
        <v>568</v>
      </c>
      <c r="H5" s="412" t="s">
        <v>569</v>
      </c>
    </row>
    <row r="6" spans="1:8" ht="17.25" customHeight="1">
      <c r="A6" s="413"/>
      <c r="B6" s="414"/>
      <c r="C6" s="415"/>
      <c r="D6" s="416">
        <v>0</v>
      </c>
      <c r="E6" s="417" t="s">
        <v>570</v>
      </c>
      <c r="F6" s="418">
        <v>110</v>
      </c>
      <c r="G6" s="419"/>
      <c r="H6" s="419"/>
    </row>
    <row r="7" spans="1:8" ht="14.25">
      <c r="A7" s="413">
        <v>40324</v>
      </c>
      <c r="B7" s="414"/>
      <c r="C7" s="420"/>
      <c r="D7" s="421">
        <v>8500</v>
      </c>
      <c r="E7" s="414" t="s">
        <v>571</v>
      </c>
      <c r="F7" s="422">
        <v>20</v>
      </c>
      <c r="G7" s="420"/>
      <c r="H7" s="420"/>
    </row>
    <row r="8" spans="1:8" ht="14.25">
      <c r="A8" s="413">
        <v>40324</v>
      </c>
      <c r="B8" s="414"/>
      <c r="C8" s="420"/>
      <c r="D8" s="421">
        <v>399</v>
      </c>
      <c r="E8" s="414" t="s">
        <v>572</v>
      </c>
      <c r="F8" s="422">
        <v>20</v>
      </c>
      <c r="G8" s="420"/>
      <c r="H8" s="420"/>
    </row>
    <row r="9" spans="1:8" ht="14.25">
      <c r="A9" s="413">
        <v>40324</v>
      </c>
      <c r="B9" s="414"/>
      <c r="C9" s="420"/>
      <c r="D9" s="421">
        <v>-7000</v>
      </c>
      <c r="E9" s="414" t="s">
        <v>573</v>
      </c>
      <c r="F9" s="422">
        <v>30</v>
      </c>
      <c r="G9" s="420"/>
      <c r="H9" s="420"/>
    </row>
    <row r="10" spans="1:8" ht="15">
      <c r="A10" s="413"/>
      <c r="B10" s="414"/>
      <c r="C10" s="420"/>
      <c r="D10" s="416">
        <f>SUM(D6:D9)</f>
        <v>1899</v>
      </c>
      <c r="E10" s="423" t="s">
        <v>574</v>
      </c>
      <c r="F10" s="422"/>
      <c r="G10" s="420"/>
      <c r="H10" s="420"/>
    </row>
    <row r="11" spans="1:8" ht="14.25">
      <c r="A11" s="413">
        <v>40338</v>
      </c>
      <c r="B11" s="414"/>
      <c r="C11" s="420"/>
      <c r="D11" s="421">
        <v>-154</v>
      </c>
      <c r="E11" s="414" t="s">
        <v>575</v>
      </c>
      <c r="F11" s="422">
        <v>10</v>
      </c>
      <c r="G11" s="420"/>
      <c r="H11" s="420"/>
    </row>
    <row r="12" spans="1:8" ht="14.25">
      <c r="A12" s="413">
        <v>40338</v>
      </c>
      <c r="B12" s="414"/>
      <c r="C12" s="420"/>
      <c r="D12" s="421">
        <v>-250</v>
      </c>
      <c r="E12" s="414" t="s">
        <v>576</v>
      </c>
      <c r="F12" s="422">
        <v>30</v>
      </c>
      <c r="G12" s="420"/>
      <c r="H12" s="420"/>
    </row>
    <row r="13" spans="1:8" ht="14.25">
      <c r="A13" s="413">
        <v>40352</v>
      </c>
      <c r="B13" s="414"/>
      <c r="C13" s="415"/>
      <c r="D13" s="421">
        <v>-383</v>
      </c>
      <c r="E13" s="414" t="s">
        <v>577</v>
      </c>
      <c r="F13" s="422">
        <v>10</v>
      </c>
      <c r="G13" s="420"/>
      <c r="H13" s="420"/>
    </row>
    <row r="14" spans="1:8" ht="14.25">
      <c r="A14" s="413">
        <v>40352</v>
      </c>
      <c r="B14" s="414"/>
      <c r="C14" s="420"/>
      <c r="D14" s="421">
        <v>-30</v>
      </c>
      <c r="E14" s="414" t="s">
        <v>578</v>
      </c>
      <c r="F14" s="422">
        <v>31</v>
      </c>
      <c r="G14" s="419"/>
      <c r="H14" s="420"/>
    </row>
    <row r="15" spans="1:8" ht="15">
      <c r="A15" s="413"/>
      <c r="B15" s="414"/>
      <c r="C15" s="420"/>
      <c r="D15" s="416">
        <f>SUM(D10:D14)</f>
        <v>1082</v>
      </c>
      <c r="E15" s="423" t="s">
        <v>579</v>
      </c>
      <c r="F15" s="422"/>
      <c r="G15" s="419"/>
      <c r="H15" s="420"/>
    </row>
    <row r="16" spans="1:8" ht="14.25">
      <c r="A16" s="413">
        <v>40366</v>
      </c>
      <c r="B16" s="414"/>
      <c r="C16" s="420"/>
      <c r="D16" s="424">
        <v>-40</v>
      </c>
      <c r="E16" s="414" t="s">
        <v>580</v>
      </c>
      <c r="F16" s="422">
        <v>10</v>
      </c>
      <c r="G16" s="419"/>
      <c r="H16" s="420"/>
    </row>
    <row r="17" spans="1:8" ht="14.25">
      <c r="A17" s="413">
        <v>40366</v>
      </c>
      <c r="B17" s="414"/>
      <c r="C17" s="420"/>
      <c r="D17" s="421">
        <v>-360</v>
      </c>
      <c r="E17" s="414" t="s">
        <v>581</v>
      </c>
      <c r="F17" s="422">
        <v>10</v>
      </c>
      <c r="G17" s="420"/>
      <c r="H17" s="420"/>
    </row>
    <row r="18" spans="1:8" ht="14.25">
      <c r="A18" s="413">
        <v>40366</v>
      </c>
      <c r="B18" s="414"/>
      <c r="C18" s="420"/>
      <c r="D18" s="421">
        <v>-600</v>
      </c>
      <c r="E18" s="414" t="s">
        <v>582</v>
      </c>
      <c r="F18" s="422">
        <v>10</v>
      </c>
      <c r="G18" s="420"/>
      <c r="H18" s="420"/>
    </row>
    <row r="19" spans="1:8" ht="14.25">
      <c r="A19" s="413">
        <v>40366</v>
      </c>
      <c r="B19" s="414"/>
      <c r="C19" s="420"/>
      <c r="D19" s="421">
        <v>-30</v>
      </c>
      <c r="E19" s="414" t="s">
        <v>583</v>
      </c>
      <c r="F19" s="422">
        <v>10</v>
      </c>
      <c r="G19" s="420"/>
      <c r="H19" s="420"/>
    </row>
    <row r="20" spans="1:8" ht="15">
      <c r="A20" s="413"/>
      <c r="B20" s="414"/>
      <c r="C20" s="420"/>
      <c r="D20" s="416">
        <f>SUM(D15:D19)</f>
        <v>52</v>
      </c>
      <c r="E20" s="423" t="s">
        <v>584</v>
      </c>
      <c r="F20" s="422"/>
      <c r="G20" s="420"/>
      <c r="H20" s="420"/>
    </row>
    <row r="21" spans="1:8" ht="14.25">
      <c r="A21" s="413">
        <v>40380</v>
      </c>
      <c r="B21" s="414"/>
      <c r="C21" s="420"/>
      <c r="D21" s="421">
        <v>-15</v>
      </c>
      <c r="E21" s="414" t="s">
        <v>585</v>
      </c>
      <c r="F21" s="422">
        <v>10</v>
      </c>
      <c r="G21" s="420"/>
      <c r="H21" s="420"/>
    </row>
    <row r="22" spans="1:8" ht="14.25">
      <c r="A22" s="413">
        <v>40380</v>
      </c>
      <c r="B22" s="414"/>
      <c r="C22" s="420"/>
      <c r="D22" s="421">
        <v>4916.7</v>
      </c>
      <c r="E22" s="414" t="s">
        <v>586</v>
      </c>
      <c r="F22" s="422">
        <v>110</v>
      </c>
      <c r="G22" s="420"/>
      <c r="H22" s="420"/>
    </row>
    <row r="23" spans="1:8" ht="15">
      <c r="A23" s="413"/>
      <c r="B23" s="414"/>
      <c r="C23" s="420"/>
      <c r="D23" s="416">
        <f>SUM(D20:D22)</f>
        <v>4953.7</v>
      </c>
      <c r="E23" s="423" t="s">
        <v>587</v>
      </c>
      <c r="F23" s="422"/>
      <c r="G23" s="420"/>
      <c r="H23" s="420"/>
    </row>
    <row r="24" spans="1:8" ht="14.25">
      <c r="A24" s="413" t="s">
        <v>588</v>
      </c>
      <c r="B24" s="414"/>
      <c r="C24" s="420"/>
      <c r="D24" s="421">
        <v>-400</v>
      </c>
      <c r="E24" s="414" t="s">
        <v>589</v>
      </c>
      <c r="F24" s="422">
        <v>120</v>
      </c>
      <c r="G24" s="420"/>
      <c r="H24" s="420"/>
    </row>
    <row r="25" spans="1:8" ht="14.25">
      <c r="A25" s="413"/>
      <c r="B25" s="414"/>
      <c r="C25" s="420"/>
      <c r="D25" s="421">
        <v>-268</v>
      </c>
      <c r="E25" s="414" t="s">
        <v>590</v>
      </c>
      <c r="F25" s="422">
        <v>90</v>
      </c>
      <c r="G25" s="420"/>
      <c r="H25" s="420"/>
    </row>
    <row r="26" spans="1:8" ht="14.25">
      <c r="A26" s="413"/>
      <c r="B26" s="414"/>
      <c r="C26" s="420"/>
      <c r="D26" s="421">
        <v>-233</v>
      </c>
      <c r="E26" s="414" t="s">
        <v>591</v>
      </c>
      <c r="F26" s="422">
        <v>90</v>
      </c>
      <c r="G26" s="420"/>
      <c r="H26" s="420"/>
    </row>
    <row r="27" spans="1:8" ht="15">
      <c r="A27" s="413"/>
      <c r="B27" s="414"/>
      <c r="C27" s="420"/>
      <c r="D27" s="416">
        <f>SUM(D23:D26)</f>
        <v>4052.7</v>
      </c>
      <c r="E27" s="414"/>
      <c r="F27" s="422"/>
      <c r="G27" s="420"/>
      <c r="H27" s="420"/>
    </row>
    <row r="29" ht="12.75">
      <c r="A29" s="411" t="s">
        <v>592</v>
      </c>
    </row>
    <row r="30" ht="12.75">
      <c r="A30" s="411" t="s">
        <v>593</v>
      </c>
    </row>
  </sheetData>
  <sheetProtection/>
  <mergeCells count="2">
    <mergeCell ref="A2:H2"/>
    <mergeCell ref="D4:H4"/>
  </mergeCells>
  <printOptions/>
  <pageMargins left="0.75" right="0.75" top="1" bottom="1" header="0.4921259845" footer="0.492125984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C47" sqref="C47"/>
    </sheetView>
  </sheetViews>
  <sheetFormatPr defaultColWidth="9.140625" defaultRowHeight="12.75"/>
  <cols>
    <col min="1" max="1" width="9.140625" style="177" customWidth="1"/>
    <col min="2" max="2" width="26.8515625" style="177" customWidth="1"/>
    <col min="3" max="5" width="23.7109375" style="177" customWidth="1"/>
    <col min="6" max="16384" width="9.140625" style="177" customWidth="1"/>
  </cols>
  <sheetData>
    <row r="1" s="173" customFormat="1" ht="15.75" hidden="1">
      <c r="A1" s="172" t="s">
        <v>437</v>
      </c>
    </row>
    <row r="2" s="173" customFormat="1" ht="12.75"/>
    <row r="3" spans="1:2" s="173" customFormat="1" ht="15.75" hidden="1">
      <c r="A3" s="172" t="s">
        <v>438</v>
      </c>
      <c r="B3" s="174"/>
    </row>
    <row r="4" spans="1:2" s="173" customFormat="1" ht="15.75">
      <c r="A4" s="172" t="s">
        <v>439</v>
      </c>
      <c r="B4" s="174"/>
    </row>
    <row r="5" s="173" customFormat="1" ht="15.75">
      <c r="A5" s="172"/>
    </row>
    <row r="6" spans="1:5" s="173" customFormat="1" ht="20.25">
      <c r="A6" s="431" t="s">
        <v>440</v>
      </c>
      <c r="B6" s="432"/>
      <c r="C6" s="433"/>
      <c r="D6" s="433"/>
      <c r="E6" s="433"/>
    </row>
    <row r="7" spans="1:5" ht="15.75">
      <c r="A7" s="175"/>
      <c r="B7" s="176"/>
      <c r="C7" s="176"/>
      <c r="D7" s="176"/>
      <c r="E7" s="176"/>
    </row>
    <row r="8" spans="1:5" ht="13.5" thickBot="1">
      <c r="A8" s="178"/>
      <c r="C8" s="179"/>
      <c r="D8" s="179"/>
      <c r="E8" s="179" t="s">
        <v>441</v>
      </c>
    </row>
    <row r="9" spans="2:229" ht="18.75" customHeight="1">
      <c r="B9" s="281" t="s">
        <v>442</v>
      </c>
      <c r="C9" s="180" t="s">
        <v>443</v>
      </c>
      <c r="D9" s="180" t="s">
        <v>444</v>
      </c>
      <c r="E9" s="181" t="s">
        <v>7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</row>
    <row r="10" spans="2:229" ht="13.5" customHeight="1" thickBot="1">
      <c r="B10" s="282"/>
      <c r="C10" s="183" t="s">
        <v>445</v>
      </c>
      <c r="D10" s="183" t="s">
        <v>445</v>
      </c>
      <c r="E10" s="184" t="s">
        <v>445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</row>
    <row r="11" spans="2:229" ht="13.5" thickTop="1">
      <c r="B11" s="185" t="s">
        <v>446</v>
      </c>
      <c r="C11" s="186">
        <v>343438</v>
      </c>
      <c r="D11" s="186">
        <v>343438</v>
      </c>
      <c r="E11" s="187">
        <v>199846.2</v>
      </c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</row>
    <row r="12" spans="2:229" ht="12.75">
      <c r="B12" s="188" t="s">
        <v>447</v>
      </c>
      <c r="C12" s="189">
        <v>54185</v>
      </c>
      <c r="D12" s="189">
        <v>54230</v>
      </c>
      <c r="E12" s="190">
        <v>28405.1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</row>
    <row r="13" spans="2:229" ht="12.75">
      <c r="B13" s="188" t="s">
        <v>448</v>
      </c>
      <c r="C13" s="189">
        <v>35845</v>
      </c>
      <c r="D13" s="189">
        <v>35845</v>
      </c>
      <c r="E13" s="190">
        <v>26812.9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</row>
    <row r="14" spans="2:229" ht="12.75">
      <c r="B14" s="191" t="s">
        <v>449</v>
      </c>
      <c r="C14" s="189">
        <v>217134</v>
      </c>
      <c r="D14" s="189">
        <v>225023.1</v>
      </c>
      <c r="E14" s="190">
        <f>498233.6-394958.6</f>
        <v>103275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</row>
    <row r="15" spans="2:229" ht="19.5" customHeight="1" thickBot="1">
      <c r="B15" s="192" t="s">
        <v>450</v>
      </c>
      <c r="C15" s="193">
        <f>SUM(C11:C14)</f>
        <v>650602</v>
      </c>
      <c r="D15" s="193">
        <f>SUM(D11:D14)</f>
        <v>658536.1</v>
      </c>
      <c r="E15" s="194">
        <f>SUM(E11:E14)</f>
        <v>358339.2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</row>
    <row r="16" spans="2:229" ht="13.5" thickTop="1">
      <c r="B16" s="195"/>
      <c r="C16" s="196"/>
      <c r="D16" s="196"/>
      <c r="E16" s="197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</row>
    <row r="17" spans="1:229" ht="12.75">
      <c r="A17" s="182"/>
      <c r="B17" s="188" t="s">
        <v>451</v>
      </c>
      <c r="C17" s="189">
        <v>546492</v>
      </c>
      <c r="D17" s="189">
        <v>604829</v>
      </c>
      <c r="E17" s="190">
        <f>731254.7-394958.6</f>
        <v>336296.1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</row>
    <row r="18" spans="1:251" s="198" customFormat="1" ht="12.75">
      <c r="A18" s="182"/>
      <c r="B18" s="191" t="s">
        <v>452</v>
      </c>
      <c r="C18" s="189">
        <v>92210</v>
      </c>
      <c r="D18" s="189">
        <v>198412.5</v>
      </c>
      <c r="E18" s="190">
        <v>81696.8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</row>
    <row r="19" spans="1:229" ht="19.5" customHeight="1" thickBot="1">
      <c r="A19" s="182"/>
      <c r="B19" s="192" t="s">
        <v>453</v>
      </c>
      <c r="C19" s="193">
        <f>SUM(C17:C18)</f>
        <v>638702</v>
      </c>
      <c r="D19" s="193">
        <f>SUM(D17:D18)</f>
        <v>803241.5</v>
      </c>
      <c r="E19" s="194">
        <f>SUM(E17:E18)</f>
        <v>417992.89999999997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</row>
    <row r="20" spans="2:229" ht="13.5" thickTop="1">
      <c r="B20" s="199"/>
      <c r="C20" s="200"/>
      <c r="D20" s="200"/>
      <c r="E20" s="20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</row>
    <row r="21" spans="2:229" ht="12.75">
      <c r="B21" s="202" t="s">
        <v>454</v>
      </c>
      <c r="C21" s="203"/>
      <c r="D21" s="203"/>
      <c r="E21" s="204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</row>
    <row r="22" spans="2:5" ht="12.75">
      <c r="B22" s="202" t="s">
        <v>455</v>
      </c>
      <c r="C22" s="205">
        <f>C15-C19</f>
        <v>11900</v>
      </c>
      <c r="D22" s="205"/>
      <c r="E22" s="206"/>
    </row>
    <row r="23" spans="2:5" ht="15" customHeight="1" thickBot="1">
      <c r="B23" s="207" t="s">
        <v>456</v>
      </c>
      <c r="C23" s="208"/>
      <c r="D23" s="208">
        <v>144705.4</v>
      </c>
      <c r="E23" s="209">
        <v>59653.7</v>
      </c>
    </row>
    <row r="26" ht="12.75">
      <c r="B26" s="210" t="s">
        <v>457</v>
      </c>
    </row>
    <row r="27" spans="2:5" ht="12.75">
      <c r="B27" s="211" t="s">
        <v>458</v>
      </c>
      <c r="C27" s="211"/>
      <c r="D27" s="211"/>
      <c r="E27" s="211"/>
    </row>
    <row r="28" spans="2:5" ht="15">
      <c r="B28" s="211"/>
      <c r="C28" s="212"/>
      <c r="D28" s="212"/>
      <c r="E28" s="212"/>
    </row>
    <row r="29" spans="2:5" ht="15">
      <c r="B29" s="211"/>
      <c r="C29" s="213"/>
      <c r="D29" s="213"/>
      <c r="E29" s="213"/>
    </row>
    <row r="30" ht="12.75">
      <c r="B30" s="211"/>
    </row>
    <row r="31" spans="2:5" ht="12.75">
      <c r="B31" s="211"/>
      <c r="C31" s="211"/>
      <c r="D31" s="211"/>
      <c r="E31" s="211"/>
    </row>
    <row r="32" spans="2:5" ht="15">
      <c r="B32" s="211"/>
      <c r="C32" s="212"/>
      <c r="D32" s="212"/>
      <c r="E32" s="212"/>
    </row>
    <row r="33" spans="2:5" ht="15">
      <c r="B33" s="211"/>
      <c r="C33" s="213"/>
      <c r="D33" s="213"/>
      <c r="E33" s="213"/>
    </row>
    <row r="34" spans="2:5" ht="15">
      <c r="B34" s="211"/>
      <c r="C34" s="213"/>
      <c r="D34" s="213"/>
      <c r="E34" s="213"/>
    </row>
    <row r="35" spans="2:5" ht="15">
      <c r="B35" s="211"/>
      <c r="C35" s="213"/>
      <c r="D35" s="213"/>
      <c r="E35" s="213"/>
    </row>
    <row r="36" spans="2:5" ht="15">
      <c r="B36" s="211"/>
      <c r="C36" s="213"/>
      <c r="D36" s="213"/>
      <c r="E36" s="213"/>
    </row>
    <row r="47" ht="12.75">
      <c r="B47" s="211"/>
    </row>
    <row r="48" spans="2:5" ht="12.75">
      <c r="B48" s="211"/>
      <c r="C48" s="211"/>
      <c r="D48" s="211"/>
      <c r="E48" s="211"/>
    </row>
    <row r="49" spans="2:5" ht="15">
      <c r="B49" s="211"/>
      <c r="C49" s="212"/>
      <c r="D49" s="212"/>
      <c r="E49" s="212"/>
    </row>
    <row r="50" spans="2:5" ht="15">
      <c r="B50" s="211"/>
      <c r="C50" s="213"/>
      <c r="D50" s="213"/>
      <c r="E50" s="213"/>
    </row>
    <row r="51" spans="2:5" ht="15">
      <c r="B51" s="211"/>
      <c r="C51" s="213"/>
      <c r="D51" s="213"/>
      <c r="E51" s="213"/>
    </row>
  </sheetData>
  <sheetProtection/>
  <mergeCells count="2">
    <mergeCell ref="A6:E6"/>
    <mergeCell ref="B9:B10"/>
  </mergeCells>
  <printOptions/>
  <pageMargins left="0.67" right="0.36" top="1" bottom="0.72" header="0.4921259845" footer="0.49212598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2.28125" style="6" customWidth="1"/>
    <col min="2" max="2" width="10.57421875" style="6" customWidth="1"/>
    <col min="3" max="3" width="14.00390625" style="6" customWidth="1"/>
    <col min="4" max="8" width="0" style="6" hidden="1" customWidth="1"/>
    <col min="9" max="9" width="10.28125" style="6" customWidth="1"/>
    <col min="10" max="21" width="0" style="6" hidden="1" customWidth="1"/>
    <col min="22" max="23" width="10.28125" style="6" customWidth="1"/>
    <col min="24" max="16384" width="9.140625" style="6" customWidth="1"/>
  </cols>
  <sheetData>
    <row r="1" spans="1:9" ht="25.5">
      <c r="A1" s="278" t="s">
        <v>459</v>
      </c>
      <c r="B1" s="279"/>
      <c r="C1" s="280"/>
      <c r="D1" s="280"/>
      <c r="E1" s="280"/>
      <c r="F1" s="280"/>
      <c r="G1" s="280"/>
      <c r="H1" s="280"/>
      <c r="I1" s="283"/>
    </row>
    <row r="2" spans="1:9" ht="18">
      <c r="A2" s="284" t="s">
        <v>460</v>
      </c>
      <c r="B2" s="285"/>
      <c r="I2" s="286"/>
    </row>
    <row r="3" spans="1:9" ht="12.75">
      <c r="A3" s="286"/>
      <c r="B3" s="286"/>
      <c r="I3" s="286"/>
    </row>
    <row r="4" spans="9:15" ht="13.5" thickBot="1">
      <c r="I4" s="286"/>
      <c r="M4" s="287"/>
      <c r="N4" s="287"/>
      <c r="O4" s="287"/>
    </row>
    <row r="5" spans="1:15" ht="16.5" thickBot="1">
      <c r="A5" s="288" t="s">
        <v>461</v>
      </c>
      <c r="B5" s="409" t="s">
        <v>557</v>
      </c>
      <c r="C5" s="404"/>
      <c r="D5" s="290"/>
      <c r="E5" s="290"/>
      <c r="F5" s="291"/>
      <c r="H5" s="292"/>
      <c r="I5" s="293"/>
      <c r="M5" s="287"/>
      <c r="N5" s="287"/>
      <c r="O5" s="287"/>
    </row>
    <row r="6" spans="1:9" ht="13.5" thickBot="1">
      <c r="A6" s="283" t="s">
        <v>463</v>
      </c>
      <c r="B6" s="283"/>
      <c r="I6" s="286"/>
    </row>
    <row r="7" spans="1:23" ht="15.75">
      <c r="A7" s="294"/>
      <c r="B7" s="295"/>
      <c r="C7" s="296"/>
      <c r="D7" s="297"/>
      <c r="E7" s="297"/>
      <c r="F7" s="297"/>
      <c r="G7" s="297"/>
      <c r="H7" s="297"/>
      <c r="I7" s="298" t="s">
        <v>6</v>
      </c>
      <c r="J7" s="299"/>
      <c r="K7" s="300"/>
      <c r="L7" s="300"/>
      <c r="M7" s="300"/>
      <c r="N7" s="300"/>
      <c r="O7" s="301"/>
      <c r="P7" s="300"/>
      <c r="Q7" s="300"/>
      <c r="R7" s="300"/>
      <c r="S7" s="300"/>
      <c r="T7" s="300"/>
      <c r="U7" s="300"/>
      <c r="V7" s="302" t="s">
        <v>464</v>
      </c>
      <c r="W7" s="298" t="s">
        <v>465</v>
      </c>
    </row>
    <row r="8" spans="1:23" ht="13.5" thickBot="1">
      <c r="A8" s="303" t="s">
        <v>210</v>
      </c>
      <c r="B8" s="304"/>
      <c r="C8" s="305"/>
      <c r="D8" s="306" t="s">
        <v>466</v>
      </c>
      <c r="E8" s="306" t="s">
        <v>467</v>
      </c>
      <c r="F8" s="306"/>
      <c r="G8" s="306"/>
      <c r="H8" s="306"/>
      <c r="I8" s="307">
        <v>2010</v>
      </c>
      <c r="J8" s="308" t="s">
        <v>468</v>
      </c>
      <c r="K8" s="309" t="s">
        <v>469</v>
      </c>
      <c r="L8" s="309" t="s">
        <v>470</v>
      </c>
      <c r="M8" s="309" t="s">
        <v>471</v>
      </c>
      <c r="N8" s="309" t="s">
        <v>472</v>
      </c>
      <c r="O8" s="309" t="s">
        <v>473</v>
      </c>
      <c r="P8" s="309" t="s">
        <v>474</v>
      </c>
      <c r="Q8" s="309" t="s">
        <v>475</v>
      </c>
      <c r="R8" s="309" t="s">
        <v>476</v>
      </c>
      <c r="S8" s="309" t="s">
        <v>477</v>
      </c>
      <c r="T8" s="309" t="s">
        <v>478</v>
      </c>
      <c r="U8" s="308" t="s">
        <v>479</v>
      </c>
      <c r="V8" s="310" t="s">
        <v>480</v>
      </c>
      <c r="W8" s="307" t="s">
        <v>481</v>
      </c>
    </row>
    <row r="9" spans="1:23" ht="16.5">
      <c r="A9" s="311" t="s">
        <v>482</v>
      </c>
      <c r="B9" s="312"/>
      <c r="C9" s="313"/>
      <c r="D9" s="314">
        <v>22</v>
      </c>
      <c r="E9" s="314">
        <v>23</v>
      </c>
      <c r="F9" s="268"/>
      <c r="G9" s="268"/>
      <c r="H9" s="268"/>
      <c r="I9" s="315">
        <v>21</v>
      </c>
      <c r="J9" s="316"/>
      <c r="K9" s="317"/>
      <c r="L9" s="317"/>
      <c r="M9" s="317"/>
      <c r="N9" s="271"/>
      <c r="O9" s="271"/>
      <c r="P9" s="269"/>
      <c r="Q9" s="269"/>
      <c r="R9" s="269"/>
      <c r="S9" s="269"/>
      <c r="T9" s="269"/>
      <c r="U9" s="269"/>
      <c r="V9" s="407">
        <v>21</v>
      </c>
      <c r="W9" s="318" t="s">
        <v>483</v>
      </c>
    </row>
    <row r="10" spans="1:23" ht="17.25" thickBot="1">
      <c r="A10" s="319" t="s">
        <v>484</v>
      </c>
      <c r="B10" s="320"/>
      <c r="C10" s="321"/>
      <c r="D10" s="322">
        <v>20.91</v>
      </c>
      <c r="E10" s="322">
        <v>21.91</v>
      </c>
      <c r="F10" s="323"/>
      <c r="G10" s="323"/>
      <c r="H10" s="323"/>
      <c r="I10" s="405">
        <v>20</v>
      </c>
      <c r="J10" s="325"/>
      <c r="K10" s="326"/>
      <c r="L10" s="327"/>
      <c r="M10" s="327"/>
      <c r="N10" s="326"/>
      <c r="O10" s="326"/>
      <c r="P10" s="328"/>
      <c r="Q10" s="328"/>
      <c r="R10" s="328"/>
      <c r="S10" s="328"/>
      <c r="T10" s="328"/>
      <c r="U10" s="329"/>
      <c r="V10" s="330">
        <v>19.68</v>
      </c>
      <c r="W10" s="331" t="s">
        <v>483</v>
      </c>
    </row>
    <row r="11" spans="1:23" ht="16.5">
      <c r="A11" s="332" t="s">
        <v>485</v>
      </c>
      <c r="B11" s="312"/>
      <c r="C11" s="333" t="s">
        <v>486</v>
      </c>
      <c r="D11" s="334">
        <v>4630</v>
      </c>
      <c r="E11" s="334">
        <v>5103</v>
      </c>
      <c r="F11" s="273"/>
      <c r="G11" s="273"/>
      <c r="H11" s="272"/>
      <c r="I11" s="335" t="s">
        <v>483</v>
      </c>
      <c r="J11" s="336"/>
      <c r="K11" s="337"/>
      <c r="L11" s="337"/>
      <c r="M11" s="338"/>
      <c r="N11" s="339"/>
      <c r="O11" s="339"/>
      <c r="P11" s="339"/>
      <c r="Q11" s="339"/>
      <c r="R11" s="339"/>
      <c r="S11" s="339"/>
      <c r="T11" s="339"/>
      <c r="U11" s="336"/>
      <c r="V11" s="406">
        <v>12774</v>
      </c>
      <c r="W11" s="335" t="s">
        <v>483</v>
      </c>
    </row>
    <row r="12" spans="1:23" ht="16.5">
      <c r="A12" s="332" t="s">
        <v>487</v>
      </c>
      <c r="B12" s="340"/>
      <c r="C12" s="333" t="s">
        <v>488</v>
      </c>
      <c r="D12" s="341">
        <v>3811</v>
      </c>
      <c r="E12" s="341">
        <v>4577</v>
      </c>
      <c r="F12" s="273"/>
      <c r="G12" s="273"/>
      <c r="H12" s="273"/>
      <c r="I12" s="335" t="s">
        <v>483</v>
      </c>
      <c r="J12" s="342"/>
      <c r="K12" s="343"/>
      <c r="L12" s="343"/>
      <c r="M12" s="344"/>
      <c r="N12" s="339"/>
      <c r="O12" s="339"/>
      <c r="P12" s="339"/>
      <c r="Q12" s="339"/>
      <c r="R12" s="339"/>
      <c r="S12" s="339"/>
      <c r="T12" s="339"/>
      <c r="U12" s="336"/>
      <c r="V12" s="406">
        <v>9484</v>
      </c>
      <c r="W12" s="335" t="s">
        <v>483</v>
      </c>
    </row>
    <row r="13" spans="1:23" ht="16.5">
      <c r="A13" s="332" t="s">
        <v>489</v>
      </c>
      <c r="B13" s="312"/>
      <c r="C13" s="333" t="s">
        <v>490</v>
      </c>
      <c r="D13" s="341">
        <v>0</v>
      </c>
      <c r="E13" s="341">
        <v>0</v>
      </c>
      <c r="F13" s="273"/>
      <c r="G13" s="273"/>
      <c r="H13" s="273"/>
      <c r="I13" s="335" t="s">
        <v>483</v>
      </c>
      <c r="J13" s="342"/>
      <c r="K13" s="343"/>
      <c r="L13" s="344"/>
      <c r="M13" s="344"/>
      <c r="N13" s="339"/>
      <c r="O13" s="339"/>
      <c r="P13" s="339"/>
      <c r="Q13" s="339"/>
      <c r="R13" s="339"/>
      <c r="S13" s="339"/>
      <c r="T13" s="339"/>
      <c r="U13" s="336"/>
      <c r="V13" s="406">
        <v>0</v>
      </c>
      <c r="W13" s="335" t="s">
        <v>483</v>
      </c>
    </row>
    <row r="14" spans="1:23" ht="16.5">
      <c r="A14" s="332" t="s">
        <v>491</v>
      </c>
      <c r="B14" s="340"/>
      <c r="C14" s="333" t="s">
        <v>492</v>
      </c>
      <c r="D14" s="341">
        <v>0</v>
      </c>
      <c r="E14" s="341">
        <v>0</v>
      </c>
      <c r="F14" s="273"/>
      <c r="G14" s="273"/>
      <c r="H14" s="273"/>
      <c r="I14" s="335" t="s">
        <v>483</v>
      </c>
      <c r="J14" s="342"/>
      <c r="K14" s="343"/>
      <c r="L14" s="344"/>
      <c r="M14" s="344"/>
      <c r="N14" s="339"/>
      <c r="O14" s="339"/>
      <c r="P14" s="339"/>
      <c r="Q14" s="339"/>
      <c r="R14" s="339"/>
      <c r="S14" s="339"/>
      <c r="T14" s="339"/>
      <c r="U14" s="336"/>
      <c r="V14" s="406">
        <v>1609</v>
      </c>
      <c r="W14" s="335" t="s">
        <v>483</v>
      </c>
    </row>
    <row r="15" spans="1:23" ht="17.25" thickBot="1">
      <c r="A15" s="311" t="s">
        <v>493</v>
      </c>
      <c r="B15" s="312"/>
      <c r="C15" s="345" t="s">
        <v>494</v>
      </c>
      <c r="D15" s="346">
        <v>869</v>
      </c>
      <c r="E15" s="346">
        <v>1024</v>
      </c>
      <c r="F15" s="270"/>
      <c r="G15" s="270"/>
      <c r="H15" s="270"/>
      <c r="I15" s="318" t="s">
        <v>483</v>
      </c>
      <c r="J15" s="347"/>
      <c r="K15" s="271"/>
      <c r="L15" s="317"/>
      <c r="M15" s="317"/>
      <c r="N15" s="271"/>
      <c r="O15" s="271"/>
      <c r="P15" s="271"/>
      <c r="Q15" s="271"/>
      <c r="R15" s="271"/>
      <c r="S15" s="271"/>
      <c r="T15" s="271"/>
      <c r="U15" s="271"/>
      <c r="V15" s="407">
        <v>531</v>
      </c>
      <c r="W15" s="318" t="s">
        <v>483</v>
      </c>
    </row>
    <row r="16" spans="1:23" ht="17.25" thickBot="1">
      <c r="A16" s="348" t="s">
        <v>495</v>
      </c>
      <c r="B16" s="349"/>
      <c r="C16" s="350"/>
      <c r="D16" s="351">
        <v>1838</v>
      </c>
      <c r="E16" s="351">
        <v>1811</v>
      </c>
      <c r="F16" s="352"/>
      <c r="G16" s="352"/>
      <c r="H16" s="352"/>
      <c r="I16" s="353" t="s">
        <v>483</v>
      </c>
      <c r="J16" s="354"/>
      <c r="K16" s="355"/>
      <c r="L16" s="356"/>
      <c r="M16" s="356"/>
      <c r="N16" s="355"/>
      <c r="O16" s="355"/>
      <c r="P16" s="355"/>
      <c r="Q16" s="355"/>
      <c r="R16" s="355"/>
      <c r="S16" s="355"/>
      <c r="T16" s="355"/>
      <c r="U16" s="354"/>
      <c r="V16" s="408">
        <v>5331</v>
      </c>
      <c r="W16" s="353" t="s">
        <v>483</v>
      </c>
    </row>
    <row r="17" spans="1:23" ht="16.5">
      <c r="A17" s="311" t="s">
        <v>496</v>
      </c>
      <c r="B17" s="312"/>
      <c r="C17" s="345" t="s">
        <v>497</v>
      </c>
      <c r="D17" s="346">
        <v>833</v>
      </c>
      <c r="E17" s="346">
        <v>540</v>
      </c>
      <c r="F17" s="270"/>
      <c r="G17" s="270"/>
      <c r="H17" s="270"/>
      <c r="I17" s="318" t="s">
        <v>483</v>
      </c>
      <c r="J17" s="347"/>
      <c r="K17" s="271"/>
      <c r="L17" s="317"/>
      <c r="M17" s="317"/>
      <c r="N17" s="271"/>
      <c r="O17" s="271"/>
      <c r="P17" s="271"/>
      <c r="Q17" s="271"/>
      <c r="R17" s="271"/>
      <c r="S17" s="271"/>
      <c r="T17" s="271"/>
      <c r="U17" s="271"/>
      <c r="V17" s="407">
        <v>3232</v>
      </c>
      <c r="W17" s="318" t="s">
        <v>483</v>
      </c>
    </row>
    <row r="18" spans="1:23" ht="16.5">
      <c r="A18" s="332" t="s">
        <v>498</v>
      </c>
      <c r="B18" s="340"/>
      <c r="C18" s="333" t="s">
        <v>499</v>
      </c>
      <c r="D18" s="334">
        <v>584</v>
      </c>
      <c r="E18" s="334">
        <v>483</v>
      </c>
      <c r="F18" s="273"/>
      <c r="G18" s="273"/>
      <c r="H18" s="273"/>
      <c r="I18" s="335" t="s">
        <v>483</v>
      </c>
      <c r="J18" s="336"/>
      <c r="K18" s="339"/>
      <c r="L18" s="338"/>
      <c r="M18" s="338"/>
      <c r="N18" s="339"/>
      <c r="O18" s="339"/>
      <c r="P18" s="339"/>
      <c r="Q18" s="339"/>
      <c r="R18" s="339"/>
      <c r="S18" s="339"/>
      <c r="T18" s="339"/>
      <c r="U18" s="336"/>
      <c r="V18" s="406">
        <v>1228</v>
      </c>
      <c r="W18" s="335" t="s">
        <v>483</v>
      </c>
    </row>
    <row r="19" spans="1:23" ht="16.5">
      <c r="A19" s="332" t="s">
        <v>500</v>
      </c>
      <c r="B19" s="340"/>
      <c r="C19" s="333" t="s">
        <v>501</v>
      </c>
      <c r="D19" s="341">
        <v>0</v>
      </c>
      <c r="E19" s="341">
        <v>0</v>
      </c>
      <c r="F19" s="273"/>
      <c r="G19" s="273"/>
      <c r="H19" s="273"/>
      <c r="I19" s="335" t="s">
        <v>483</v>
      </c>
      <c r="J19" s="342"/>
      <c r="K19" s="343"/>
      <c r="L19" s="344"/>
      <c r="M19" s="344"/>
      <c r="N19" s="339"/>
      <c r="O19" s="339"/>
      <c r="P19" s="339"/>
      <c r="Q19" s="339"/>
      <c r="R19" s="339"/>
      <c r="S19" s="339"/>
      <c r="T19" s="339"/>
      <c r="U19" s="336"/>
      <c r="V19" s="406">
        <v>0</v>
      </c>
      <c r="W19" s="335" t="s">
        <v>483</v>
      </c>
    </row>
    <row r="20" spans="1:23" ht="16.5">
      <c r="A20" s="332" t="s">
        <v>502</v>
      </c>
      <c r="B20" s="312"/>
      <c r="C20" s="333" t="s">
        <v>503</v>
      </c>
      <c r="D20" s="341">
        <v>225</v>
      </c>
      <c r="E20" s="341">
        <v>259</v>
      </c>
      <c r="F20" s="273"/>
      <c r="G20" s="273"/>
      <c r="H20" s="273"/>
      <c r="I20" s="335" t="s">
        <v>483</v>
      </c>
      <c r="J20" s="342"/>
      <c r="K20" s="343"/>
      <c r="L20" s="344"/>
      <c r="M20" s="344"/>
      <c r="N20" s="339"/>
      <c r="O20" s="339"/>
      <c r="P20" s="339"/>
      <c r="Q20" s="339"/>
      <c r="R20" s="339"/>
      <c r="S20" s="339"/>
      <c r="T20" s="339"/>
      <c r="U20" s="336"/>
      <c r="V20" s="406">
        <v>5706</v>
      </c>
      <c r="W20" s="335" t="s">
        <v>483</v>
      </c>
    </row>
    <row r="21" spans="1:23" ht="17.25" thickBot="1">
      <c r="A21" s="332" t="s">
        <v>504</v>
      </c>
      <c r="B21" s="320"/>
      <c r="C21" s="333" t="s">
        <v>505</v>
      </c>
      <c r="D21" s="341">
        <v>0</v>
      </c>
      <c r="E21" s="341">
        <v>0</v>
      </c>
      <c r="F21" s="357"/>
      <c r="G21" s="357"/>
      <c r="H21" s="357"/>
      <c r="I21" s="335" t="s">
        <v>483</v>
      </c>
      <c r="J21" s="342"/>
      <c r="K21" s="343"/>
      <c r="L21" s="344"/>
      <c r="M21" s="344"/>
      <c r="N21" s="339"/>
      <c r="O21" s="339"/>
      <c r="P21" s="339"/>
      <c r="Q21" s="339"/>
      <c r="R21" s="339"/>
      <c r="S21" s="339"/>
      <c r="T21" s="339"/>
      <c r="U21" s="336"/>
      <c r="V21" s="406">
        <v>0</v>
      </c>
      <c r="W21" s="335" t="s">
        <v>483</v>
      </c>
    </row>
    <row r="22" spans="1:23" ht="16.5">
      <c r="A22" s="358" t="s">
        <v>506</v>
      </c>
      <c r="B22" s="312"/>
      <c r="C22" s="359"/>
      <c r="D22" s="360">
        <v>6805</v>
      </c>
      <c r="E22" s="360">
        <v>6979</v>
      </c>
      <c r="F22" s="272"/>
      <c r="G22" s="272"/>
      <c r="H22" s="272"/>
      <c r="I22" s="361">
        <v>14953</v>
      </c>
      <c r="J22" s="362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62"/>
      <c r="V22" s="363">
        <v>7315</v>
      </c>
      <c r="W22" s="364">
        <f>+V22/I22*100</f>
        <v>48.91994917407878</v>
      </c>
    </row>
    <row r="23" spans="1:23" ht="16.5">
      <c r="A23" s="332" t="s">
        <v>507</v>
      </c>
      <c r="B23" s="340"/>
      <c r="C23" s="365"/>
      <c r="D23" s="334"/>
      <c r="E23" s="334"/>
      <c r="F23" s="273"/>
      <c r="G23" s="273"/>
      <c r="H23" s="273"/>
      <c r="I23" s="366">
        <v>6150</v>
      </c>
      <c r="J23" s="336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6"/>
      <c r="V23" s="367">
        <v>2710</v>
      </c>
      <c r="W23" s="368">
        <f>+V23/I23*100</f>
        <v>44.06504065040651</v>
      </c>
    </row>
    <row r="24" spans="1:23" ht="17.25" thickBot="1">
      <c r="A24" s="369" t="s">
        <v>508</v>
      </c>
      <c r="B24" s="312"/>
      <c r="C24" s="370"/>
      <c r="D24" s="371">
        <v>6505</v>
      </c>
      <c r="E24" s="371">
        <v>6369</v>
      </c>
      <c r="F24" s="274"/>
      <c r="G24" s="274"/>
      <c r="H24" s="274"/>
      <c r="I24" s="372">
        <v>8803</v>
      </c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3"/>
      <c r="V24" s="375">
        <v>4605</v>
      </c>
      <c r="W24" s="376">
        <f>+V24/I24*100</f>
        <v>52.311711916392134</v>
      </c>
    </row>
    <row r="25" spans="1:23" ht="16.5">
      <c r="A25" s="332" t="s">
        <v>509</v>
      </c>
      <c r="B25" s="377" t="s">
        <v>510</v>
      </c>
      <c r="C25" s="333" t="s">
        <v>511</v>
      </c>
      <c r="D25" s="334">
        <v>2275</v>
      </c>
      <c r="E25" s="334">
        <v>2131</v>
      </c>
      <c r="F25" s="273"/>
      <c r="G25" s="273"/>
      <c r="H25" s="273"/>
      <c r="I25" s="378">
        <v>1000</v>
      </c>
      <c r="J25" s="336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6"/>
      <c r="V25" s="367">
        <v>326</v>
      </c>
      <c r="W25" s="368">
        <f aca="true" t="shared" si="0" ref="W25:W34">+V25/I25*100</f>
        <v>32.6</v>
      </c>
    </row>
    <row r="26" spans="1:23" ht="16.5">
      <c r="A26" s="332" t="s">
        <v>512</v>
      </c>
      <c r="B26" s="379" t="s">
        <v>513</v>
      </c>
      <c r="C26" s="333" t="s">
        <v>514</v>
      </c>
      <c r="D26" s="341">
        <v>269</v>
      </c>
      <c r="E26" s="341">
        <v>415</v>
      </c>
      <c r="F26" s="275"/>
      <c r="G26" s="275"/>
      <c r="H26" s="275"/>
      <c r="I26" s="366">
        <v>3000</v>
      </c>
      <c r="J26" s="336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6"/>
      <c r="V26" s="367">
        <v>1678</v>
      </c>
      <c r="W26" s="368">
        <f t="shared" si="0"/>
        <v>55.93333333333334</v>
      </c>
    </row>
    <row r="27" spans="1:23" ht="16.5">
      <c r="A27" s="332" t="s">
        <v>515</v>
      </c>
      <c r="B27" s="380" t="s">
        <v>516</v>
      </c>
      <c r="C27" s="333" t="s">
        <v>517</v>
      </c>
      <c r="D27" s="341">
        <v>0</v>
      </c>
      <c r="E27" s="341">
        <v>1</v>
      </c>
      <c r="F27" s="275"/>
      <c r="G27" s="275"/>
      <c r="H27" s="275"/>
      <c r="I27" s="366">
        <v>0</v>
      </c>
      <c r="J27" s="336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6"/>
      <c r="V27" s="367">
        <v>0</v>
      </c>
      <c r="W27" s="368" t="e">
        <f t="shared" si="0"/>
        <v>#DIV/0!</v>
      </c>
    </row>
    <row r="28" spans="1:23" ht="16.5">
      <c r="A28" s="332" t="s">
        <v>518</v>
      </c>
      <c r="B28" s="380" t="s">
        <v>519</v>
      </c>
      <c r="C28" s="333" t="s">
        <v>520</v>
      </c>
      <c r="D28" s="341">
        <v>582</v>
      </c>
      <c r="E28" s="341">
        <v>430</v>
      </c>
      <c r="F28" s="275"/>
      <c r="G28" s="275"/>
      <c r="H28" s="275"/>
      <c r="I28" s="366">
        <v>7450</v>
      </c>
      <c r="J28" s="336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6"/>
      <c r="V28" s="367">
        <f>569+6776</f>
        <v>7345</v>
      </c>
      <c r="W28" s="368">
        <f t="shared" si="0"/>
        <v>98.59060402684564</v>
      </c>
    </row>
    <row r="29" spans="1:23" ht="16.5">
      <c r="A29" s="332" t="s">
        <v>521</v>
      </c>
      <c r="B29" s="379" t="s">
        <v>522</v>
      </c>
      <c r="C29" s="333" t="s">
        <v>523</v>
      </c>
      <c r="D29" s="341">
        <v>566</v>
      </c>
      <c r="E29" s="341">
        <v>656</v>
      </c>
      <c r="F29" s="275"/>
      <c r="G29" s="275"/>
      <c r="H29" s="275"/>
      <c r="I29" s="366">
        <v>1000</v>
      </c>
      <c r="J29" s="336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6"/>
      <c r="V29" s="367">
        <v>769</v>
      </c>
      <c r="W29" s="368">
        <f t="shared" si="0"/>
        <v>76.9</v>
      </c>
    </row>
    <row r="30" spans="1:23" ht="16.5">
      <c r="A30" s="332" t="s">
        <v>524</v>
      </c>
      <c r="B30" s="380" t="s">
        <v>525</v>
      </c>
      <c r="C30" s="333" t="s">
        <v>526</v>
      </c>
      <c r="D30" s="341">
        <v>2457</v>
      </c>
      <c r="E30" s="341">
        <v>2785</v>
      </c>
      <c r="F30" s="275"/>
      <c r="G30" s="275"/>
      <c r="H30" s="275"/>
      <c r="I30" s="366">
        <v>5600</v>
      </c>
      <c r="J30" s="336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6"/>
      <c r="V30" s="367">
        <v>2769</v>
      </c>
      <c r="W30" s="368">
        <f>+V30/I30*100</f>
        <v>49.44642857142857</v>
      </c>
    </row>
    <row r="31" spans="1:23" ht="16.5">
      <c r="A31" s="332" t="s">
        <v>527</v>
      </c>
      <c r="B31" s="380" t="s">
        <v>528</v>
      </c>
      <c r="C31" s="333" t="s">
        <v>529</v>
      </c>
      <c r="D31" s="341">
        <v>943</v>
      </c>
      <c r="E31" s="341">
        <v>1044</v>
      </c>
      <c r="F31" s="275"/>
      <c r="G31" s="275"/>
      <c r="H31" s="275"/>
      <c r="I31" s="366">
        <v>1904</v>
      </c>
      <c r="J31" s="336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6"/>
      <c r="V31" s="367">
        <v>1068</v>
      </c>
      <c r="W31" s="368">
        <f>+V31/I31*100</f>
        <v>56.09243697478992</v>
      </c>
    </row>
    <row r="32" spans="1:23" ht="16.5">
      <c r="A32" s="332" t="s">
        <v>530</v>
      </c>
      <c r="B32" s="379" t="s">
        <v>531</v>
      </c>
      <c r="C32" s="333" t="s">
        <v>532</v>
      </c>
      <c r="D32" s="341">
        <v>0</v>
      </c>
      <c r="E32" s="341">
        <v>0</v>
      </c>
      <c r="F32" s="275"/>
      <c r="G32" s="275"/>
      <c r="H32" s="275"/>
      <c r="I32" s="366">
        <v>0</v>
      </c>
      <c r="J32" s="336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6"/>
      <c r="V32" s="367">
        <v>0</v>
      </c>
      <c r="W32" s="368" t="e">
        <f t="shared" si="0"/>
        <v>#DIV/0!</v>
      </c>
    </row>
    <row r="33" spans="1:23" ht="16.5">
      <c r="A33" s="332" t="s">
        <v>533</v>
      </c>
      <c r="B33" s="380" t="s">
        <v>534</v>
      </c>
      <c r="C33" s="333" t="s">
        <v>535</v>
      </c>
      <c r="D33" s="341">
        <v>318</v>
      </c>
      <c r="E33" s="341">
        <v>252</v>
      </c>
      <c r="F33" s="275"/>
      <c r="G33" s="275"/>
      <c r="H33" s="275"/>
      <c r="I33" s="366">
        <v>799</v>
      </c>
      <c r="J33" s="336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6"/>
      <c r="V33" s="367">
        <v>366</v>
      </c>
      <c r="W33" s="368">
        <f t="shared" si="0"/>
        <v>45.8072590738423</v>
      </c>
    </row>
    <row r="34" spans="1:23" ht="17.25" thickBot="1">
      <c r="A34" s="311" t="s">
        <v>536</v>
      </c>
      <c r="B34" s="381"/>
      <c r="C34" s="345"/>
      <c r="D34" s="346">
        <v>98</v>
      </c>
      <c r="E34" s="346">
        <v>128</v>
      </c>
      <c r="F34" s="270"/>
      <c r="G34" s="270"/>
      <c r="H34" s="270"/>
      <c r="I34" s="382">
        <v>530</v>
      </c>
      <c r="J34" s="276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383">
        <v>256</v>
      </c>
      <c r="W34" s="384">
        <f t="shared" si="0"/>
        <v>48.301886792452834</v>
      </c>
    </row>
    <row r="35" spans="1:23" ht="17.25" thickBot="1">
      <c r="A35" s="385" t="s">
        <v>537</v>
      </c>
      <c r="B35" s="379"/>
      <c r="C35" s="386" t="s">
        <v>538</v>
      </c>
      <c r="D35" s="387">
        <v>7508</v>
      </c>
      <c r="E35" s="387">
        <f>SUM(E25:E34)</f>
        <v>7842</v>
      </c>
      <c r="F35" s="352"/>
      <c r="G35" s="352"/>
      <c r="H35" s="352"/>
      <c r="I35" s="388">
        <f aca="true" t="shared" si="1" ref="I35:V35">SUM(I25:I34)</f>
        <v>21283</v>
      </c>
      <c r="J35" s="388">
        <f t="shared" si="1"/>
        <v>0</v>
      </c>
      <c r="K35" s="388">
        <f t="shared" si="1"/>
        <v>0</v>
      </c>
      <c r="L35" s="388">
        <f t="shared" si="1"/>
        <v>0</v>
      </c>
      <c r="M35" s="388">
        <f t="shared" si="1"/>
        <v>0</v>
      </c>
      <c r="N35" s="388">
        <f t="shared" si="1"/>
        <v>0</v>
      </c>
      <c r="O35" s="388">
        <f t="shared" si="1"/>
        <v>0</v>
      </c>
      <c r="P35" s="388">
        <f t="shared" si="1"/>
        <v>0</v>
      </c>
      <c r="Q35" s="388">
        <f t="shared" si="1"/>
        <v>0</v>
      </c>
      <c r="R35" s="388">
        <f t="shared" si="1"/>
        <v>0</v>
      </c>
      <c r="S35" s="388">
        <f t="shared" si="1"/>
        <v>0</v>
      </c>
      <c r="T35" s="388">
        <f t="shared" si="1"/>
        <v>0</v>
      </c>
      <c r="U35" s="388">
        <f t="shared" si="1"/>
        <v>0</v>
      </c>
      <c r="V35" s="388">
        <f t="shared" si="1"/>
        <v>14577</v>
      </c>
      <c r="W35" s="390">
        <f>+V35/I35*100</f>
        <v>68.49128412347883</v>
      </c>
    </row>
    <row r="36" spans="1:23" ht="16.5">
      <c r="A36" s="332" t="s">
        <v>539</v>
      </c>
      <c r="B36" s="377" t="s">
        <v>540</v>
      </c>
      <c r="C36" s="333" t="s">
        <v>541</v>
      </c>
      <c r="D36" s="334">
        <v>0</v>
      </c>
      <c r="E36" s="334">
        <v>0</v>
      </c>
      <c r="F36" s="273"/>
      <c r="G36" s="273"/>
      <c r="H36" s="273"/>
      <c r="I36" s="378">
        <v>0</v>
      </c>
      <c r="J36" s="336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6"/>
      <c r="V36" s="367">
        <v>0</v>
      </c>
      <c r="W36" s="368" t="e">
        <f aca="true" t="shared" si="2" ref="W36:W41">+V36/I36*100</f>
        <v>#DIV/0!</v>
      </c>
    </row>
    <row r="37" spans="1:23" ht="16.5">
      <c r="A37" s="332" t="s">
        <v>542</v>
      </c>
      <c r="B37" s="380" t="s">
        <v>543</v>
      </c>
      <c r="C37" s="333" t="s">
        <v>544</v>
      </c>
      <c r="D37" s="341">
        <v>716</v>
      </c>
      <c r="E37" s="341">
        <v>715</v>
      </c>
      <c r="F37" s="275"/>
      <c r="G37" s="275"/>
      <c r="H37" s="275"/>
      <c r="I37" s="366">
        <v>6280</v>
      </c>
      <c r="J37" s="336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6"/>
      <c r="V37" s="367">
        <v>2430</v>
      </c>
      <c r="W37" s="368">
        <f t="shared" si="2"/>
        <v>38.69426751592357</v>
      </c>
    </row>
    <row r="38" spans="1:23" ht="16.5">
      <c r="A38" s="332" t="s">
        <v>545</v>
      </c>
      <c r="B38" s="379" t="s">
        <v>546</v>
      </c>
      <c r="C38" s="333" t="s">
        <v>547</v>
      </c>
      <c r="D38" s="341">
        <v>26</v>
      </c>
      <c r="E38" s="341">
        <v>32</v>
      </c>
      <c r="F38" s="275"/>
      <c r="G38" s="275"/>
      <c r="H38" s="275"/>
      <c r="I38" s="366">
        <v>0</v>
      </c>
      <c r="J38" s="336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6"/>
      <c r="V38" s="367">
        <v>0</v>
      </c>
      <c r="W38" s="368" t="e">
        <f t="shared" si="2"/>
        <v>#DIV/0!</v>
      </c>
    </row>
    <row r="39" spans="1:23" ht="16.5">
      <c r="A39" s="332" t="s">
        <v>548</v>
      </c>
      <c r="B39" s="391"/>
      <c r="C39" s="333" t="s">
        <v>549</v>
      </c>
      <c r="D39" s="341">
        <v>6805</v>
      </c>
      <c r="E39" s="341">
        <v>6979</v>
      </c>
      <c r="F39" s="275"/>
      <c r="G39" s="275"/>
      <c r="H39" s="275"/>
      <c r="I39" s="366">
        <v>14953</v>
      </c>
      <c r="J39" s="336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6"/>
      <c r="V39" s="367">
        <v>7315</v>
      </c>
      <c r="W39" s="368">
        <f t="shared" si="2"/>
        <v>48.91994917407878</v>
      </c>
    </row>
    <row r="40" spans="1:23" ht="17.25" thickBot="1">
      <c r="A40" s="311" t="s">
        <v>550</v>
      </c>
      <c r="B40" s="392"/>
      <c r="C40" s="393"/>
      <c r="D40" s="346">
        <v>25</v>
      </c>
      <c r="E40" s="346">
        <v>406</v>
      </c>
      <c r="F40" s="270"/>
      <c r="G40" s="270"/>
      <c r="H40" s="270"/>
      <c r="I40" s="378">
        <v>50</v>
      </c>
      <c r="J40" s="276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367">
        <v>3</v>
      </c>
      <c r="W40" s="368">
        <f t="shared" si="2"/>
        <v>6</v>
      </c>
    </row>
    <row r="41" spans="1:23" ht="17.25" thickBot="1">
      <c r="A41" s="385" t="s">
        <v>551</v>
      </c>
      <c r="B41" s="394"/>
      <c r="C41" s="386" t="s">
        <v>552</v>
      </c>
      <c r="D41" s="387">
        <f>SUM(D36:D40)</f>
        <v>7572</v>
      </c>
      <c r="E41" s="387">
        <f>SUM(E36:E40)</f>
        <v>8132</v>
      </c>
      <c r="F41" s="352"/>
      <c r="G41" s="352"/>
      <c r="H41" s="352"/>
      <c r="I41" s="388">
        <f aca="true" t="shared" si="3" ref="I41:V41">SUM(I36:I40)</f>
        <v>21283</v>
      </c>
      <c r="J41" s="388">
        <f t="shared" si="3"/>
        <v>0</v>
      </c>
      <c r="K41" s="388">
        <f t="shared" si="3"/>
        <v>0</v>
      </c>
      <c r="L41" s="388">
        <f t="shared" si="3"/>
        <v>0</v>
      </c>
      <c r="M41" s="388">
        <f t="shared" si="3"/>
        <v>0</v>
      </c>
      <c r="N41" s="388">
        <f t="shared" si="3"/>
        <v>0</v>
      </c>
      <c r="O41" s="388">
        <f t="shared" si="3"/>
        <v>0</v>
      </c>
      <c r="P41" s="388">
        <f t="shared" si="3"/>
        <v>0</v>
      </c>
      <c r="Q41" s="388">
        <f t="shared" si="3"/>
        <v>0</v>
      </c>
      <c r="R41" s="388">
        <f t="shared" si="3"/>
        <v>0</v>
      </c>
      <c r="S41" s="388">
        <f t="shared" si="3"/>
        <v>0</v>
      </c>
      <c r="T41" s="388">
        <f t="shared" si="3"/>
        <v>0</v>
      </c>
      <c r="U41" s="388">
        <f t="shared" si="3"/>
        <v>0</v>
      </c>
      <c r="V41" s="388">
        <f t="shared" si="3"/>
        <v>9748</v>
      </c>
      <c r="W41" s="390">
        <f t="shared" si="2"/>
        <v>45.80181365409012</v>
      </c>
    </row>
    <row r="42" spans="1:23" ht="6.75" customHeight="1" thickBot="1">
      <c r="A42" s="311"/>
      <c r="B42" s="349"/>
      <c r="C42" s="393"/>
      <c r="D42" s="346"/>
      <c r="E42" s="346"/>
      <c r="F42" s="277"/>
      <c r="G42" s="277"/>
      <c r="H42" s="277"/>
      <c r="I42" s="395"/>
      <c r="J42" s="347"/>
      <c r="K42" s="271"/>
      <c r="L42" s="317"/>
      <c r="M42" s="317"/>
      <c r="N42" s="271"/>
      <c r="O42" s="271"/>
      <c r="P42" s="271"/>
      <c r="Q42" s="271"/>
      <c r="R42" s="271"/>
      <c r="S42" s="271"/>
      <c r="T42" s="271"/>
      <c r="U42" s="396"/>
      <c r="V42" s="383"/>
      <c r="W42" s="384"/>
    </row>
    <row r="43" spans="1:23" ht="17.25" thickBot="1">
      <c r="A43" s="397" t="s">
        <v>553</v>
      </c>
      <c r="B43" s="398"/>
      <c r="C43" s="399"/>
      <c r="D43" s="387">
        <f>+D41-D39</f>
        <v>767</v>
      </c>
      <c r="E43" s="387">
        <f>+E41-E39</f>
        <v>1153</v>
      </c>
      <c r="F43" s="352"/>
      <c r="G43" s="352"/>
      <c r="H43" s="352"/>
      <c r="I43" s="388">
        <f aca="true" t="shared" si="4" ref="I43:V43">I36+I37+I38+I40</f>
        <v>6330</v>
      </c>
      <c r="J43" s="388">
        <f t="shared" si="4"/>
        <v>0</v>
      </c>
      <c r="K43" s="388">
        <f t="shared" si="4"/>
        <v>0</v>
      </c>
      <c r="L43" s="388">
        <f t="shared" si="4"/>
        <v>0</v>
      </c>
      <c r="M43" s="388">
        <f t="shared" si="4"/>
        <v>0</v>
      </c>
      <c r="N43" s="388">
        <f t="shared" si="4"/>
        <v>0</v>
      </c>
      <c r="O43" s="388">
        <f t="shared" si="4"/>
        <v>0</v>
      </c>
      <c r="P43" s="388">
        <f t="shared" si="4"/>
        <v>0</v>
      </c>
      <c r="Q43" s="388">
        <f t="shared" si="4"/>
        <v>0</v>
      </c>
      <c r="R43" s="388">
        <f t="shared" si="4"/>
        <v>0</v>
      </c>
      <c r="S43" s="388">
        <f t="shared" si="4"/>
        <v>0</v>
      </c>
      <c r="T43" s="388">
        <f t="shared" si="4"/>
        <v>0</v>
      </c>
      <c r="U43" s="388">
        <f t="shared" si="4"/>
        <v>0</v>
      </c>
      <c r="V43" s="388">
        <f t="shared" si="4"/>
        <v>2433</v>
      </c>
      <c r="W43" s="390">
        <f>+V43/I43*100</f>
        <v>38.43601895734597</v>
      </c>
    </row>
    <row r="44" spans="1:23" ht="17.25" thickBot="1">
      <c r="A44" s="385" t="s">
        <v>554</v>
      </c>
      <c r="B44" s="398"/>
      <c r="C44" s="386" t="s">
        <v>555</v>
      </c>
      <c r="D44" s="387">
        <f>+D41-D35</f>
        <v>64</v>
      </c>
      <c r="E44" s="387">
        <f>+E41-E35</f>
        <v>290</v>
      </c>
      <c r="F44" s="352"/>
      <c r="G44" s="352"/>
      <c r="H44" s="352"/>
      <c r="I44" s="388">
        <f>+I41-I35</f>
        <v>0</v>
      </c>
      <c r="J44" s="388">
        <f aca="true" t="shared" si="5" ref="J44:V44">+J41-J35</f>
        <v>0</v>
      </c>
      <c r="K44" s="388">
        <f t="shared" si="5"/>
        <v>0</v>
      </c>
      <c r="L44" s="388">
        <f t="shared" si="5"/>
        <v>0</v>
      </c>
      <c r="M44" s="388">
        <f t="shared" si="5"/>
        <v>0</v>
      </c>
      <c r="N44" s="388">
        <f t="shared" si="5"/>
        <v>0</v>
      </c>
      <c r="O44" s="388">
        <f t="shared" si="5"/>
        <v>0</v>
      </c>
      <c r="P44" s="388">
        <f t="shared" si="5"/>
        <v>0</v>
      </c>
      <c r="Q44" s="388">
        <f t="shared" si="5"/>
        <v>0</v>
      </c>
      <c r="R44" s="388">
        <f t="shared" si="5"/>
        <v>0</v>
      </c>
      <c r="S44" s="388">
        <f t="shared" si="5"/>
        <v>0</v>
      </c>
      <c r="T44" s="388">
        <f t="shared" si="5"/>
        <v>0</v>
      </c>
      <c r="U44" s="388">
        <f t="shared" si="5"/>
        <v>0</v>
      </c>
      <c r="V44" s="388">
        <f t="shared" si="5"/>
        <v>-4829</v>
      </c>
      <c r="W44" s="390" t="e">
        <f>+V44/I44*100</f>
        <v>#DIV/0!</v>
      </c>
    </row>
    <row r="45" spans="1:23" ht="17.25" thickBot="1">
      <c r="A45" s="397" t="s">
        <v>556</v>
      </c>
      <c r="B45" s="398"/>
      <c r="C45" s="400"/>
      <c r="D45" s="401">
        <f>+D44-D39</f>
        <v>-6741</v>
      </c>
      <c r="E45" s="401">
        <f>+E44-E39</f>
        <v>-6689</v>
      </c>
      <c r="F45" s="352"/>
      <c r="G45" s="352"/>
      <c r="H45" s="352"/>
      <c r="I45" s="388">
        <f aca="true" t="shared" si="6" ref="I45:V45">I44-I39</f>
        <v>-14953</v>
      </c>
      <c r="J45" s="388">
        <f t="shared" si="6"/>
        <v>0</v>
      </c>
      <c r="K45" s="388">
        <f t="shared" si="6"/>
        <v>0</v>
      </c>
      <c r="L45" s="388">
        <f t="shared" si="6"/>
        <v>0</v>
      </c>
      <c r="M45" s="388">
        <f t="shared" si="6"/>
        <v>0</v>
      </c>
      <c r="N45" s="388">
        <f t="shared" si="6"/>
        <v>0</v>
      </c>
      <c r="O45" s="388">
        <f t="shared" si="6"/>
        <v>0</v>
      </c>
      <c r="P45" s="388">
        <f t="shared" si="6"/>
        <v>0</v>
      </c>
      <c r="Q45" s="388">
        <f t="shared" si="6"/>
        <v>0</v>
      </c>
      <c r="R45" s="388">
        <f t="shared" si="6"/>
        <v>0</v>
      </c>
      <c r="S45" s="388">
        <f t="shared" si="6"/>
        <v>0</v>
      </c>
      <c r="T45" s="388">
        <f t="shared" si="6"/>
        <v>0</v>
      </c>
      <c r="U45" s="388">
        <f t="shared" si="6"/>
        <v>0</v>
      </c>
      <c r="V45" s="388">
        <f t="shared" si="6"/>
        <v>-12144</v>
      </c>
      <c r="W45" s="390">
        <f>+V45/I45*100</f>
        <v>81.21447201230522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2.28125" style="6" customWidth="1"/>
    <col min="2" max="2" width="10.57421875" style="6" customWidth="1"/>
    <col min="3" max="3" width="14.00390625" style="6" customWidth="1"/>
    <col min="4" max="8" width="0" style="6" hidden="1" customWidth="1"/>
    <col min="9" max="9" width="10.28125" style="6" customWidth="1"/>
    <col min="10" max="21" width="0" style="6" hidden="1" customWidth="1"/>
    <col min="22" max="23" width="10.28125" style="6" customWidth="1"/>
    <col min="24" max="16384" width="9.140625" style="6" customWidth="1"/>
  </cols>
  <sheetData>
    <row r="1" spans="1:9" ht="25.5">
      <c r="A1" s="278" t="s">
        <v>459</v>
      </c>
      <c r="B1" s="279"/>
      <c r="C1" s="280"/>
      <c r="D1" s="280"/>
      <c r="E1" s="280"/>
      <c r="F1" s="280"/>
      <c r="G1" s="280"/>
      <c r="H1" s="280"/>
      <c r="I1" s="283"/>
    </row>
    <row r="2" spans="1:9" ht="18">
      <c r="A2" s="284" t="s">
        <v>460</v>
      </c>
      <c r="B2" s="285"/>
      <c r="I2" s="286"/>
    </row>
    <row r="3" spans="1:9" ht="12.75">
      <c r="A3" s="286"/>
      <c r="B3" s="286"/>
      <c r="I3" s="286"/>
    </row>
    <row r="4" spans="9:15" ht="13.5" thickBot="1">
      <c r="I4" s="286"/>
      <c r="M4" s="287"/>
      <c r="N4" s="287"/>
      <c r="O4" s="287"/>
    </row>
    <row r="5" spans="1:15" ht="16.5" thickBot="1">
      <c r="A5" s="288" t="s">
        <v>461</v>
      </c>
      <c r="B5" s="409" t="s">
        <v>558</v>
      </c>
      <c r="C5" s="404"/>
      <c r="D5" s="290"/>
      <c r="E5" s="290"/>
      <c r="F5" s="291"/>
      <c r="H5" s="292"/>
      <c r="I5" s="293"/>
      <c r="M5" s="287"/>
      <c r="N5" s="287"/>
      <c r="O5" s="287"/>
    </row>
    <row r="6" spans="1:9" ht="13.5" thickBot="1">
      <c r="A6" s="283" t="s">
        <v>463</v>
      </c>
      <c r="B6" s="283"/>
      <c r="I6" s="286"/>
    </row>
    <row r="7" spans="1:23" ht="15.75">
      <c r="A7" s="294"/>
      <c r="B7" s="295"/>
      <c r="C7" s="296"/>
      <c r="D7" s="297"/>
      <c r="E7" s="297"/>
      <c r="F7" s="297"/>
      <c r="G7" s="297"/>
      <c r="H7" s="297"/>
      <c r="I7" s="298" t="s">
        <v>6</v>
      </c>
      <c r="J7" s="299"/>
      <c r="K7" s="300"/>
      <c r="L7" s="300"/>
      <c r="M7" s="300"/>
      <c r="N7" s="300"/>
      <c r="O7" s="301"/>
      <c r="P7" s="300"/>
      <c r="Q7" s="300"/>
      <c r="R7" s="300"/>
      <c r="S7" s="300"/>
      <c r="T7" s="300"/>
      <c r="U7" s="300"/>
      <c r="V7" s="302" t="s">
        <v>464</v>
      </c>
      <c r="W7" s="298" t="s">
        <v>465</v>
      </c>
    </row>
    <row r="8" spans="1:23" ht="13.5" thickBot="1">
      <c r="A8" s="303" t="s">
        <v>210</v>
      </c>
      <c r="B8" s="304"/>
      <c r="C8" s="305"/>
      <c r="D8" s="306" t="s">
        <v>466</v>
      </c>
      <c r="E8" s="306" t="s">
        <v>467</v>
      </c>
      <c r="F8" s="306"/>
      <c r="G8" s="306"/>
      <c r="H8" s="306"/>
      <c r="I8" s="307">
        <v>2010</v>
      </c>
      <c r="J8" s="308" t="s">
        <v>468</v>
      </c>
      <c r="K8" s="309" t="s">
        <v>469</v>
      </c>
      <c r="L8" s="309" t="s">
        <v>470</v>
      </c>
      <c r="M8" s="309" t="s">
        <v>471</v>
      </c>
      <c r="N8" s="309" t="s">
        <v>472</v>
      </c>
      <c r="O8" s="309" t="s">
        <v>473</v>
      </c>
      <c r="P8" s="309" t="s">
        <v>474</v>
      </c>
      <c r="Q8" s="309" t="s">
        <v>475</v>
      </c>
      <c r="R8" s="309" t="s">
        <v>476</v>
      </c>
      <c r="S8" s="309" t="s">
        <v>477</v>
      </c>
      <c r="T8" s="309" t="s">
        <v>478</v>
      </c>
      <c r="U8" s="308" t="s">
        <v>479</v>
      </c>
      <c r="V8" s="310" t="s">
        <v>480</v>
      </c>
      <c r="W8" s="307" t="s">
        <v>481</v>
      </c>
    </row>
    <row r="9" spans="1:23" ht="16.5">
      <c r="A9" s="311" t="s">
        <v>482</v>
      </c>
      <c r="B9" s="312"/>
      <c r="C9" s="313"/>
      <c r="D9" s="314">
        <v>22</v>
      </c>
      <c r="E9" s="314">
        <v>23</v>
      </c>
      <c r="F9" s="268"/>
      <c r="G9" s="268"/>
      <c r="H9" s="268"/>
      <c r="I9" s="315">
        <v>12</v>
      </c>
      <c r="J9" s="316"/>
      <c r="K9" s="317"/>
      <c r="L9" s="317"/>
      <c r="M9" s="317"/>
      <c r="N9" s="271"/>
      <c r="O9" s="271"/>
      <c r="P9" s="269"/>
      <c r="Q9" s="269"/>
      <c r="R9" s="269"/>
      <c r="S9" s="269"/>
      <c r="T9" s="269"/>
      <c r="U9" s="269"/>
      <c r="V9" s="407">
        <v>12</v>
      </c>
      <c r="W9" s="318" t="s">
        <v>483</v>
      </c>
    </row>
    <row r="10" spans="1:23" ht="17.25" thickBot="1">
      <c r="A10" s="319" t="s">
        <v>484</v>
      </c>
      <c r="B10" s="320"/>
      <c r="C10" s="321"/>
      <c r="D10" s="322">
        <v>20.91</v>
      </c>
      <c r="E10" s="322">
        <v>21.91</v>
      </c>
      <c r="F10" s="323"/>
      <c r="G10" s="323"/>
      <c r="H10" s="323"/>
      <c r="I10" s="405">
        <v>11.5</v>
      </c>
      <c r="J10" s="325"/>
      <c r="K10" s="326"/>
      <c r="L10" s="327"/>
      <c r="M10" s="327"/>
      <c r="N10" s="326"/>
      <c r="O10" s="326"/>
      <c r="P10" s="328"/>
      <c r="Q10" s="328"/>
      <c r="R10" s="328"/>
      <c r="S10" s="328"/>
      <c r="T10" s="328"/>
      <c r="U10" s="329"/>
      <c r="V10" s="330">
        <v>11.5</v>
      </c>
      <c r="W10" s="331" t="s">
        <v>483</v>
      </c>
    </row>
    <row r="11" spans="1:23" ht="16.5">
      <c r="A11" s="332" t="s">
        <v>485</v>
      </c>
      <c r="B11" s="312"/>
      <c r="C11" s="333" t="s">
        <v>486</v>
      </c>
      <c r="D11" s="334">
        <v>4630</v>
      </c>
      <c r="E11" s="334">
        <v>5103</v>
      </c>
      <c r="F11" s="273"/>
      <c r="G11" s="273"/>
      <c r="H11" s="272"/>
      <c r="I11" s="335" t="s">
        <v>483</v>
      </c>
      <c r="J11" s="336"/>
      <c r="K11" s="337"/>
      <c r="L11" s="337"/>
      <c r="M11" s="338"/>
      <c r="N11" s="339"/>
      <c r="O11" s="339"/>
      <c r="P11" s="339"/>
      <c r="Q11" s="339"/>
      <c r="R11" s="339"/>
      <c r="S11" s="339"/>
      <c r="T11" s="339"/>
      <c r="U11" s="336"/>
      <c r="V11" s="406">
        <v>7679</v>
      </c>
      <c r="W11" s="335" t="s">
        <v>483</v>
      </c>
    </row>
    <row r="12" spans="1:23" ht="16.5">
      <c r="A12" s="332" t="s">
        <v>487</v>
      </c>
      <c r="B12" s="340"/>
      <c r="C12" s="333" t="s">
        <v>488</v>
      </c>
      <c r="D12" s="341">
        <v>3811</v>
      </c>
      <c r="E12" s="341">
        <v>4577</v>
      </c>
      <c r="F12" s="273"/>
      <c r="G12" s="273"/>
      <c r="H12" s="273"/>
      <c r="I12" s="335" t="s">
        <v>483</v>
      </c>
      <c r="J12" s="342"/>
      <c r="K12" s="343"/>
      <c r="L12" s="343"/>
      <c r="M12" s="344"/>
      <c r="N12" s="339"/>
      <c r="O12" s="339"/>
      <c r="P12" s="339"/>
      <c r="Q12" s="339"/>
      <c r="R12" s="339"/>
      <c r="S12" s="339"/>
      <c r="T12" s="339"/>
      <c r="U12" s="336"/>
      <c r="V12" s="406">
        <v>7244</v>
      </c>
      <c r="W12" s="335" t="s">
        <v>483</v>
      </c>
    </row>
    <row r="13" spans="1:23" ht="16.5">
      <c r="A13" s="332" t="s">
        <v>489</v>
      </c>
      <c r="B13" s="312"/>
      <c r="C13" s="333" t="s">
        <v>490</v>
      </c>
      <c r="D13" s="341">
        <v>0</v>
      </c>
      <c r="E13" s="341">
        <v>0</v>
      </c>
      <c r="F13" s="273"/>
      <c r="G13" s="273"/>
      <c r="H13" s="273"/>
      <c r="I13" s="335" t="s">
        <v>483</v>
      </c>
      <c r="J13" s="342"/>
      <c r="K13" s="343"/>
      <c r="L13" s="344"/>
      <c r="M13" s="344"/>
      <c r="N13" s="339"/>
      <c r="O13" s="339"/>
      <c r="P13" s="339"/>
      <c r="Q13" s="339"/>
      <c r="R13" s="339"/>
      <c r="S13" s="339"/>
      <c r="T13" s="339"/>
      <c r="U13" s="336"/>
      <c r="V13" s="406">
        <v>12</v>
      </c>
      <c r="W13" s="335" t="s">
        <v>483</v>
      </c>
    </row>
    <row r="14" spans="1:23" ht="16.5">
      <c r="A14" s="332" t="s">
        <v>491</v>
      </c>
      <c r="B14" s="340"/>
      <c r="C14" s="333" t="s">
        <v>492</v>
      </c>
      <c r="D14" s="341">
        <v>0</v>
      </c>
      <c r="E14" s="341">
        <v>0</v>
      </c>
      <c r="F14" s="273"/>
      <c r="G14" s="273"/>
      <c r="H14" s="273"/>
      <c r="I14" s="335" t="s">
        <v>483</v>
      </c>
      <c r="J14" s="342"/>
      <c r="K14" s="343"/>
      <c r="L14" s="344"/>
      <c r="M14" s="344"/>
      <c r="N14" s="339"/>
      <c r="O14" s="339"/>
      <c r="P14" s="339"/>
      <c r="Q14" s="339"/>
      <c r="R14" s="339"/>
      <c r="S14" s="339"/>
      <c r="T14" s="339"/>
      <c r="U14" s="336"/>
      <c r="V14" s="406">
        <v>271</v>
      </c>
      <c r="W14" s="335" t="s">
        <v>483</v>
      </c>
    </row>
    <row r="15" spans="1:23" ht="17.25" thickBot="1">
      <c r="A15" s="311" t="s">
        <v>493</v>
      </c>
      <c r="B15" s="312"/>
      <c r="C15" s="345" t="s">
        <v>494</v>
      </c>
      <c r="D15" s="346">
        <v>869</v>
      </c>
      <c r="E15" s="346">
        <v>1024</v>
      </c>
      <c r="F15" s="270"/>
      <c r="G15" s="270"/>
      <c r="H15" s="270"/>
      <c r="I15" s="318" t="s">
        <v>483</v>
      </c>
      <c r="J15" s="347"/>
      <c r="K15" s="271"/>
      <c r="L15" s="317"/>
      <c r="M15" s="317"/>
      <c r="N15" s="271"/>
      <c r="O15" s="271"/>
      <c r="P15" s="271"/>
      <c r="Q15" s="271"/>
      <c r="R15" s="271"/>
      <c r="S15" s="271"/>
      <c r="T15" s="271"/>
      <c r="U15" s="271"/>
      <c r="V15" s="407">
        <v>2209</v>
      </c>
      <c r="W15" s="318" t="s">
        <v>483</v>
      </c>
    </row>
    <row r="16" spans="1:23" ht="17.25" thickBot="1">
      <c r="A16" s="348" t="s">
        <v>495</v>
      </c>
      <c r="B16" s="349"/>
      <c r="C16" s="350"/>
      <c r="D16" s="351">
        <v>1838</v>
      </c>
      <c r="E16" s="351">
        <v>1811</v>
      </c>
      <c r="F16" s="352"/>
      <c r="G16" s="352"/>
      <c r="H16" s="352"/>
      <c r="I16" s="353" t="s">
        <v>483</v>
      </c>
      <c r="J16" s="354"/>
      <c r="K16" s="355"/>
      <c r="L16" s="356"/>
      <c r="M16" s="356"/>
      <c r="N16" s="355"/>
      <c r="O16" s="355"/>
      <c r="P16" s="355"/>
      <c r="Q16" s="355"/>
      <c r="R16" s="355"/>
      <c r="S16" s="355"/>
      <c r="T16" s="355"/>
      <c r="U16" s="354"/>
      <c r="V16" s="408">
        <v>2083</v>
      </c>
      <c r="W16" s="353" t="s">
        <v>483</v>
      </c>
    </row>
    <row r="17" spans="1:23" ht="16.5">
      <c r="A17" s="311" t="s">
        <v>496</v>
      </c>
      <c r="B17" s="312"/>
      <c r="C17" s="345" t="s">
        <v>497</v>
      </c>
      <c r="D17" s="346">
        <v>833</v>
      </c>
      <c r="E17" s="346">
        <v>540</v>
      </c>
      <c r="F17" s="270"/>
      <c r="G17" s="270"/>
      <c r="H17" s="270"/>
      <c r="I17" s="318" t="s">
        <v>483</v>
      </c>
      <c r="J17" s="347"/>
      <c r="K17" s="271"/>
      <c r="L17" s="317"/>
      <c r="M17" s="317"/>
      <c r="N17" s="271"/>
      <c r="O17" s="271"/>
      <c r="P17" s="271"/>
      <c r="Q17" s="271"/>
      <c r="R17" s="271"/>
      <c r="S17" s="271"/>
      <c r="T17" s="271"/>
      <c r="U17" s="271"/>
      <c r="V17" s="407">
        <v>450</v>
      </c>
      <c r="W17" s="318" t="s">
        <v>483</v>
      </c>
    </row>
    <row r="18" spans="1:23" ht="16.5">
      <c r="A18" s="332" t="s">
        <v>498</v>
      </c>
      <c r="B18" s="340"/>
      <c r="C18" s="333" t="s">
        <v>499</v>
      </c>
      <c r="D18" s="334">
        <v>584</v>
      </c>
      <c r="E18" s="334">
        <v>483</v>
      </c>
      <c r="F18" s="273"/>
      <c r="G18" s="273"/>
      <c r="H18" s="273"/>
      <c r="I18" s="335" t="s">
        <v>483</v>
      </c>
      <c r="J18" s="336"/>
      <c r="K18" s="339"/>
      <c r="L18" s="338"/>
      <c r="M18" s="338"/>
      <c r="N18" s="339"/>
      <c r="O18" s="339"/>
      <c r="P18" s="339"/>
      <c r="Q18" s="339"/>
      <c r="R18" s="339"/>
      <c r="S18" s="339"/>
      <c r="T18" s="339"/>
      <c r="U18" s="336"/>
      <c r="V18" s="406">
        <v>838</v>
      </c>
      <c r="W18" s="335" t="s">
        <v>483</v>
      </c>
    </row>
    <row r="19" spans="1:23" ht="16.5">
      <c r="A19" s="332" t="s">
        <v>500</v>
      </c>
      <c r="B19" s="340"/>
      <c r="C19" s="333" t="s">
        <v>501</v>
      </c>
      <c r="D19" s="341">
        <v>0</v>
      </c>
      <c r="E19" s="341">
        <v>0</v>
      </c>
      <c r="F19" s="273"/>
      <c r="G19" s="273"/>
      <c r="H19" s="273"/>
      <c r="I19" s="335" t="s">
        <v>483</v>
      </c>
      <c r="J19" s="342"/>
      <c r="K19" s="343"/>
      <c r="L19" s="344"/>
      <c r="M19" s="344"/>
      <c r="N19" s="339"/>
      <c r="O19" s="339"/>
      <c r="P19" s="339"/>
      <c r="Q19" s="339"/>
      <c r="R19" s="339"/>
      <c r="S19" s="339"/>
      <c r="T19" s="339"/>
      <c r="U19" s="336"/>
      <c r="V19" s="406">
        <v>0</v>
      </c>
      <c r="W19" s="335" t="s">
        <v>483</v>
      </c>
    </row>
    <row r="20" spans="1:23" ht="16.5">
      <c r="A20" s="332" t="s">
        <v>502</v>
      </c>
      <c r="B20" s="312"/>
      <c r="C20" s="333" t="s">
        <v>503</v>
      </c>
      <c r="D20" s="341">
        <v>225</v>
      </c>
      <c r="E20" s="341">
        <v>259</v>
      </c>
      <c r="F20" s="273"/>
      <c r="G20" s="273"/>
      <c r="H20" s="273"/>
      <c r="I20" s="335" t="s">
        <v>483</v>
      </c>
      <c r="J20" s="342"/>
      <c r="K20" s="343"/>
      <c r="L20" s="344"/>
      <c r="M20" s="344"/>
      <c r="N20" s="339"/>
      <c r="O20" s="339"/>
      <c r="P20" s="339"/>
      <c r="Q20" s="339"/>
      <c r="R20" s="339"/>
      <c r="S20" s="339"/>
      <c r="T20" s="339"/>
      <c r="U20" s="336"/>
      <c r="V20" s="406">
        <v>796</v>
      </c>
      <c r="W20" s="335" t="s">
        <v>483</v>
      </c>
    </row>
    <row r="21" spans="1:23" ht="17.25" thickBot="1">
      <c r="A21" s="332" t="s">
        <v>504</v>
      </c>
      <c r="B21" s="320"/>
      <c r="C21" s="333" t="s">
        <v>505</v>
      </c>
      <c r="D21" s="341">
        <v>0</v>
      </c>
      <c r="E21" s="341">
        <v>0</v>
      </c>
      <c r="F21" s="357"/>
      <c r="G21" s="357"/>
      <c r="H21" s="357"/>
      <c r="I21" s="335" t="s">
        <v>483</v>
      </c>
      <c r="J21" s="342"/>
      <c r="K21" s="343"/>
      <c r="L21" s="344"/>
      <c r="M21" s="344"/>
      <c r="N21" s="339"/>
      <c r="O21" s="339"/>
      <c r="P21" s="339"/>
      <c r="Q21" s="339"/>
      <c r="R21" s="339"/>
      <c r="S21" s="339"/>
      <c r="T21" s="339"/>
      <c r="U21" s="336"/>
      <c r="V21" s="406">
        <v>0</v>
      </c>
      <c r="W21" s="335" t="s">
        <v>483</v>
      </c>
    </row>
    <row r="22" spans="1:23" ht="16.5">
      <c r="A22" s="358" t="s">
        <v>506</v>
      </c>
      <c r="B22" s="312"/>
      <c r="C22" s="359"/>
      <c r="D22" s="360">
        <v>6805</v>
      </c>
      <c r="E22" s="360">
        <v>6979</v>
      </c>
      <c r="F22" s="272"/>
      <c r="G22" s="272"/>
      <c r="H22" s="272"/>
      <c r="I22" s="361">
        <v>8556</v>
      </c>
      <c r="J22" s="362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62"/>
      <c r="V22" s="363">
        <v>5494</v>
      </c>
      <c r="W22" s="364">
        <f>+V22/I22*100</f>
        <v>64.2122487143525</v>
      </c>
    </row>
    <row r="23" spans="1:23" ht="16.5">
      <c r="A23" s="332" t="s">
        <v>507</v>
      </c>
      <c r="B23" s="340"/>
      <c r="C23" s="365"/>
      <c r="D23" s="334"/>
      <c r="E23" s="334"/>
      <c r="F23" s="273"/>
      <c r="G23" s="273"/>
      <c r="H23" s="273"/>
      <c r="I23" s="366">
        <v>0</v>
      </c>
      <c r="J23" s="336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6"/>
      <c r="V23" s="367">
        <v>0</v>
      </c>
      <c r="W23" s="368" t="e">
        <f>+V23/I23*100</f>
        <v>#DIV/0!</v>
      </c>
    </row>
    <row r="24" spans="1:23" ht="17.25" thickBot="1">
      <c r="A24" s="369" t="s">
        <v>508</v>
      </c>
      <c r="B24" s="312"/>
      <c r="C24" s="370"/>
      <c r="D24" s="371">
        <v>6505</v>
      </c>
      <c r="E24" s="371">
        <v>6369</v>
      </c>
      <c r="F24" s="274"/>
      <c r="G24" s="274"/>
      <c r="H24" s="274"/>
      <c r="I24" s="372">
        <v>6350</v>
      </c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3"/>
      <c r="V24" s="375">
        <v>3894</v>
      </c>
      <c r="W24" s="376">
        <f>+V24/I24*100</f>
        <v>61.32283464566929</v>
      </c>
    </row>
    <row r="25" spans="1:23" ht="16.5">
      <c r="A25" s="332" t="s">
        <v>509</v>
      </c>
      <c r="B25" s="377" t="s">
        <v>510</v>
      </c>
      <c r="C25" s="333" t="s">
        <v>511</v>
      </c>
      <c r="D25" s="334">
        <v>2275</v>
      </c>
      <c r="E25" s="334">
        <v>2131</v>
      </c>
      <c r="F25" s="273"/>
      <c r="G25" s="273"/>
      <c r="H25" s="273"/>
      <c r="I25" s="378">
        <v>500</v>
      </c>
      <c r="J25" s="336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6"/>
      <c r="V25" s="367">
        <v>217</v>
      </c>
      <c r="W25" s="368">
        <f aca="true" t="shared" si="0" ref="W25:W34">+V25/I25*100</f>
        <v>43.4</v>
      </c>
    </row>
    <row r="26" spans="1:23" ht="16.5">
      <c r="A26" s="332" t="s">
        <v>512</v>
      </c>
      <c r="B26" s="379" t="s">
        <v>513</v>
      </c>
      <c r="C26" s="333" t="s">
        <v>514</v>
      </c>
      <c r="D26" s="341">
        <v>269</v>
      </c>
      <c r="E26" s="341">
        <v>415</v>
      </c>
      <c r="F26" s="275"/>
      <c r="G26" s="275"/>
      <c r="H26" s="275"/>
      <c r="I26" s="366">
        <v>650</v>
      </c>
      <c r="J26" s="336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6"/>
      <c r="V26" s="367">
        <v>353</v>
      </c>
      <c r="W26" s="368">
        <f t="shared" si="0"/>
        <v>54.307692307692314</v>
      </c>
    </row>
    <row r="27" spans="1:23" ht="16.5">
      <c r="A27" s="332" t="s">
        <v>515</v>
      </c>
      <c r="B27" s="380" t="s">
        <v>516</v>
      </c>
      <c r="C27" s="333" t="s">
        <v>517</v>
      </c>
      <c r="D27" s="341">
        <v>0</v>
      </c>
      <c r="E27" s="341">
        <v>1</v>
      </c>
      <c r="F27" s="275"/>
      <c r="G27" s="275"/>
      <c r="H27" s="275"/>
      <c r="I27" s="366">
        <v>45</v>
      </c>
      <c r="J27" s="336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6"/>
      <c r="V27" s="367">
        <v>22</v>
      </c>
      <c r="W27" s="368">
        <f t="shared" si="0"/>
        <v>48.888888888888886</v>
      </c>
    </row>
    <row r="28" spans="1:23" ht="16.5">
      <c r="A28" s="332" t="s">
        <v>518</v>
      </c>
      <c r="B28" s="380" t="s">
        <v>519</v>
      </c>
      <c r="C28" s="333" t="s">
        <v>520</v>
      </c>
      <c r="D28" s="341">
        <v>582</v>
      </c>
      <c r="E28" s="341">
        <v>430</v>
      </c>
      <c r="F28" s="275"/>
      <c r="G28" s="275"/>
      <c r="H28" s="275"/>
      <c r="I28" s="366">
        <v>1100</v>
      </c>
      <c r="J28" s="336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6"/>
      <c r="V28" s="367">
        <v>669</v>
      </c>
      <c r="W28" s="368">
        <f t="shared" si="0"/>
        <v>60.81818181818181</v>
      </c>
    </row>
    <row r="29" spans="1:23" ht="16.5">
      <c r="A29" s="332" t="s">
        <v>521</v>
      </c>
      <c r="B29" s="379" t="s">
        <v>522</v>
      </c>
      <c r="C29" s="333" t="s">
        <v>523</v>
      </c>
      <c r="D29" s="341">
        <v>566</v>
      </c>
      <c r="E29" s="341">
        <v>656</v>
      </c>
      <c r="F29" s="275"/>
      <c r="G29" s="275"/>
      <c r="H29" s="275"/>
      <c r="I29" s="366">
        <v>2170</v>
      </c>
      <c r="J29" s="336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6"/>
      <c r="V29" s="367">
        <v>2116</v>
      </c>
      <c r="W29" s="368">
        <f t="shared" si="0"/>
        <v>97.51152073732719</v>
      </c>
    </row>
    <row r="30" spans="1:23" ht="16.5">
      <c r="A30" s="332" t="s">
        <v>524</v>
      </c>
      <c r="B30" s="380" t="s">
        <v>525</v>
      </c>
      <c r="C30" s="333" t="s">
        <v>526</v>
      </c>
      <c r="D30" s="341">
        <v>2457</v>
      </c>
      <c r="E30" s="341">
        <v>2785</v>
      </c>
      <c r="F30" s="275"/>
      <c r="G30" s="275"/>
      <c r="H30" s="275"/>
      <c r="I30" s="366">
        <v>3150</v>
      </c>
      <c r="J30" s="336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6"/>
      <c r="V30" s="367">
        <v>1508</v>
      </c>
      <c r="W30" s="368">
        <f>+V30/I30*100</f>
        <v>47.87301587301587</v>
      </c>
    </row>
    <row r="31" spans="1:23" ht="16.5">
      <c r="A31" s="332" t="s">
        <v>527</v>
      </c>
      <c r="B31" s="380" t="s">
        <v>528</v>
      </c>
      <c r="C31" s="333" t="s">
        <v>529</v>
      </c>
      <c r="D31" s="341">
        <v>943</v>
      </c>
      <c r="E31" s="341">
        <v>1044</v>
      </c>
      <c r="F31" s="275"/>
      <c r="G31" s="275"/>
      <c r="H31" s="275"/>
      <c r="I31" s="366">
        <v>1136</v>
      </c>
      <c r="J31" s="336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6"/>
      <c r="V31" s="367">
        <v>570</v>
      </c>
      <c r="W31" s="368">
        <f>+V31/I31*100</f>
        <v>50.176056338028175</v>
      </c>
    </row>
    <row r="32" spans="1:23" ht="16.5">
      <c r="A32" s="332" t="s">
        <v>530</v>
      </c>
      <c r="B32" s="379" t="s">
        <v>531</v>
      </c>
      <c r="C32" s="333" t="s">
        <v>532</v>
      </c>
      <c r="D32" s="341">
        <v>0</v>
      </c>
      <c r="E32" s="341">
        <v>0</v>
      </c>
      <c r="F32" s="275"/>
      <c r="G32" s="275"/>
      <c r="H32" s="275"/>
      <c r="I32" s="366">
        <v>0</v>
      </c>
      <c r="J32" s="336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6"/>
      <c r="V32" s="367">
        <v>0</v>
      </c>
      <c r="W32" s="368" t="e">
        <f t="shared" si="0"/>
        <v>#DIV/0!</v>
      </c>
    </row>
    <row r="33" spans="1:23" ht="16.5">
      <c r="A33" s="332" t="s">
        <v>533</v>
      </c>
      <c r="B33" s="380" t="s">
        <v>534</v>
      </c>
      <c r="C33" s="333" t="s">
        <v>535</v>
      </c>
      <c r="D33" s="341">
        <v>318</v>
      </c>
      <c r="E33" s="341">
        <v>252</v>
      </c>
      <c r="F33" s="275"/>
      <c r="G33" s="275"/>
      <c r="H33" s="275"/>
      <c r="I33" s="366">
        <v>45</v>
      </c>
      <c r="J33" s="336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6"/>
      <c r="V33" s="367">
        <v>19</v>
      </c>
      <c r="W33" s="368">
        <f t="shared" si="0"/>
        <v>42.22222222222222</v>
      </c>
    </row>
    <row r="34" spans="1:23" ht="17.25" thickBot="1">
      <c r="A34" s="311" t="s">
        <v>536</v>
      </c>
      <c r="B34" s="381"/>
      <c r="C34" s="345"/>
      <c r="D34" s="346">
        <v>98</v>
      </c>
      <c r="E34" s="346">
        <v>128</v>
      </c>
      <c r="F34" s="270"/>
      <c r="G34" s="270"/>
      <c r="H34" s="270"/>
      <c r="I34" s="382">
        <v>300</v>
      </c>
      <c r="J34" s="276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383">
        <v>157</v>
      </c>
      <c r="W34" s="384">
        <f t="shared" si="0"/>
        <v>52.33333333333333</v>
      </c>
    </row>
    <row r="35" spans="1:23" ht="17.25" thickBot="1">
      <c r="A35" s="385" t="s">
        <v>537</v>
      </c>
      <c r="B35" s="379"/>
      <c r="C35" s="386" t="s">
        <v>538</v>
      </c>
      <c r="D35" s="387">
        <v>7508</v>
      </c>
      <c r="E35" s="387">
        <f aca="true" t="shared" si="1" ref="E35:V35">SUM(E25:E34)</f>
        <v>7842</v>
      </c>
      <c r="F35" s="352"/>
      <c r="G35" s="352"/>
      <c r="H35" s="352"/>
      <c r="I35" s="388">
        <f t="shared" si="1"/>
        <v>9096</v>
      </c>
      <c r="J35" s="388">
        <f t="shared" si="1"/>
        <v>0</v>
      </c>
      <c r="K35" s="388">
        <f t="shared" si="1"/>
        <v>0</v>
      </c>
      <c r="L35" s="388">
        <f t="shared" si="1"/>
        <v>0</v>
      </c>
      <c r="M35" s="388">
        <f t="shared" si="1"/>
        <v>0</v>
      </c>
      <c r="N35" s="388">
        <f t="shared" si="1"/>
        <v>0</v>
      </c>
      <c r="O35" s="388">
        <f t="shared" si="1"/>
        <v>0</v>
      </c>
      <c r="P35" s="388">
        <f t="shared" si="1"/>
        <v>0</v>
      </c>
      <c r="Q35" s="388">
        <f t="shared" si="1"/>
        <v>0</v>
      </c>
      <c r="R35" s="388">
        <f t="shared" si="1"/>
        <v>0</v>
      </c>
      <c r="S35" s="388">
        <f t="shared" si="1"/>
        <v>0</v>
      </c>
      <c r="T35" s="388">
        <f t="shared" si="1"/>
        <v>0</v>
      </c>
      <c r="U35" s="388">
        <f t="shared" si="1"/>
        <v>0</v>
      </c>
      <c r="V35" s="388">
        <f t="shared" si="1"/>
        <v>5631</v>
      </c>
      <c r="W35" s="390">
        <f>+V35/I35*100</f>
        <v>61.90633245382586</v>
      </c>
    </row>
    <row r="36" spans="1:23" ht="16.5">
      <c r="A36" s="332" t="s">
        <v>539</v>
      </c>
      <c r="B36" s="377" t="s">
        <v>540</v>
      </c>
      <c r="C36" s="333" t="s">
        <v>541</v>
      </c>
      <c r="D36" s="334">
        <v>0</v>
      </c>
      <c r="E36" s="334">
        <v>0</v>
      </c>
      <c r="F36" s="273"/>
      <c r="G36" s="273"/>
      <c r="H36" s="273"/>
      <c r="I36" s="378">
        <v>0</v>
      </c>
      <c r="J36" s="336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6"/>
      <c r="V36" s="367">
        <v>0</v>
      </c>
      <c r="W36" s="368" t="e">
        <f aca="true" t="shared" si="2" ref="W36:W41">+V36/I36*100</f>
        <v>#DIV/0!</v>
      </c>
    </row>
    <row r="37" spans="1:23" ht="16.5">
      <c r="A37" s="332" t="s">
        <v>542</v>
      </c>
      <c r="B37" s="380" t="s">
        <v>543</v>
      </c>
      <c r="C37" s="333" t="s">
        <v>544</v>
      </c>
      <c r="D37" s="341">
        <v>716</v>
      </c>
      <c r="E37" s="341">
        <v>715</v>
      </c>
      <c r="F37" s="275"/>
      <c r="G37" s="275"/>
      <c r="H37" s="275"/>
      <c r="I37" s="366">
        <v>250</v>
      </c>
      <c r="J37" s="336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6"/>
      <c r="V37" s="367">
        <v>25</v>
      </c>
      <c r="W37" s="368">
        <f t="shared" si="2"/>
        <v>10</v>
      </c>
    </row>
    <row r="38" spans="1:23" ht="16.5">
      <c r="A38" s="332" t="s">
        <v>545</v>
      </c>
      <c r="B38" s="379" t="s">
        <v>546</v>
      </c>
      <c r="C38" s="333" t="s">
        <v>547</v>
      </c>
      <c r="D38" s="341">
        <v>26</v>
      </c>
      <c r="E38" s="341">
        <v>32</v>
      </c>
      <c r="F38" s="275"/>
      <c r="G38" s="275"/>
      <c r="H38" s="275"/>
      <c r="I38" s="366">
        <v>50</v>
      </c>
      <c r="J38" s="336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6"/>
      <c r="V38" s="367">
        <v>28</v>
      </c>
      <c r="W38" s="368">
        <f t="shared" si="2"/>
        <v>56.00000000000001</v>
      </c>
    </row>
    <row r="39" spans="1:23" ht="16.5">
      <c r="A39" s="332" t="s">
        <v>548</v>
      </c>
      <c r="B39" s="391"/>
      <c r="C39" s="333" t="s">
        <v>549</v>
      </c>
      <c r="D39" s="341">
        <v>6805</v>
      </c>
      <c r="E39" s="341">
        <v>6979</v>
      </c>
      <c r="F39" s="275"/>
      <c r="G39" s="275"/>
      <c r="H39" s="275"/>
      <c r="I39" s="366">
        <v>8556</v>
      </c>
      <c r="J39" s="336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6"/>
      <c r="V39" s="367">
        <v>5494</v>
      </c>
      <c r="W39" s="368">
        <f t="shared" si="2"/>
        <v>64.2122487143525</v>
      </c>
    </row>
    <row r="40" spans="1:23" ht="17.25" thickBot="1">
      <c r="A40" s="311" t="s">
        <v>550</v>
      </c>
      <c r="B40" s="392"/>
      <c r="C40" s="393"/>
      <c r="D40" s="346">
        <v>25</v>
      </c>
      <c r="E40" s="346">
        <v>406</v>
      </c>
      <c r="F40" s="270"/>
      <c r="G40" s="270"/>
      <c r="H40" s="270"/>
      <c r="I40" s="378">
        <v>240</v>
      </c>
      <c r="J40" s="276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367">
        <v>99</v>
      </c>
      <c r="W40" s="368">
        <f t="shared" si="2"/>
        <v>41.25</v>
      </c>
    </row>
    <row r="41" spans="1:23" ht="17.25" thickBot="1">
      <c r="A41" s="385" t="s">
        <v>551</v>
      </c>
      <c r="B41" s="394"/>
      <c r="C41" s="386" t="s">
        <v>552</v>
      </c>
      <c r="D41" s="387">
        <f aca="true" t="shared" si="3" ref="D41:V41">SUM(D36:D40)</f>
        <v>7572</v>
      </c>
      <c r="E41" s="387">
        <f t="shared" si="3"/>
        <v>8132</v>
      </c>
      <c r="F41" s="352"/>
      <c r="G41" s="352"/>
      <c r="H41" s="352"/>
      <c r="I41" s="388">
        <f t="shared" si="3"/>
        <v>9096</v>
      </c>
      <c r="J41" s="388">
        <f t="shared" si="3"/>
        <v>0</v>
      </c>
      <c r="K41" s="388">
        <f t="shared" si="3"/>
        <v>0</v>
      </c>
      <c r="L41" s="388">
        <f t="shared" si="3"/>
        <v>0</v>
      </c>
      <c r="M41" s="388">
        <f t="shared" si="3"/>
        <v>0</v>
      </c>
      <c r="N41" s="388">
        <f t="shared" si="3"/>
        <v>0</v>
      </c>
      <c r="O41" s="388">
        <f t="shared" si="3"/>
        <v>0</v>
      </c>
      <c r="P41" s="388">
        <f t="shared" si="3"/>
        <v>0</v>
      </c>
      <c r="Q41" s="388">
        <f t="shared" si="3"/>
        <v>0</v>
      </c>
      <c r="R41" s="388">
        <f t="shared" si="3"/>
        <v>0</v>
      </c>
      <c r="S41" s="388">
        <f t="shared" si="3"/>
        <v>0</v>
      </c>
      <c r="T41" s="388">
        <f t="shared" si="3"/>
        <v>0</v>
      </c>
      <c r="U41" s="388">
        <f t="shared" si="3"/>
        <v>0</v>
      </c>
      <c r="V41" s="388">
        <f t="shared" si="3"/>
        <v>5646</v>
      </c>
      <c r="W41" s="390">
        <f t="shared" si="2"/>
        <v>62.071240105540895</v>
      </c>
    </row>
    <row r="42" spans="1:23" ht="6.75" customHeight="1" thickBot="1">
      <c r="A42" s="311"/>
      <c r="B42" s="349"/>
      <c r="C42" s="393"/>
      <c r="D42" s="346"/>
      <c r="E42" s="346"/>
      <c r="F42" s="277"/>
      <c r="G42" s="277"/>
      <c r="H42" s="277"/>
      <c r="I42" s="395"/>
      <c r="J42" s="347"/>
      <c r="K42" s="271"/>
      <c r="L42" s="317"/>
      <c r="M42" s="317"/>
      <c r="N42" s="271"/>
      <c r="O42" s="271"/>
      <c r="P42" s="271"/>
      <c r="Q42" s="271"/>
      <c r="R42" s="271"/>
      <c r="S42" s="271"/>
      <c r="T42" s="271"/>
      <c r="U42" s="396"/>
      <c r="V42" s="383"/>
      <c r="W42" s="384"/>
    </row>
    <row r="43" spans="1:23" ht="17.25" thickBot="1">
      <c r="A43" s="397" t="s">
        <v>553</v>
      </c>
      <c r="B43" s="398"/>
      <c r="C43" s="399"/>
      <c r="D43" s="387">
        <f>+D41-D39</f>
        <v>767</v>
      </c>
      <c r="E43" s="387">
        <f>+E41-E39</f>
        <v>1153</v>
      </c>
      <c r="F43" s="352"/>
      <c r="G43" s="352"/>
      <c r="H43" s="352"/>
      <c r="I43" s="388">
        <f aca="true" t="shared" si="4" ref="I43:V43">I36+I37+I38+I40</f>
        <v>540</v>
      </c>
      <c r="J43" s="388">
        <f t="shared" si="4"/>
        <v>0</v>
      </c>
      <c r="K43" s="388">
        <f t="shared" si="4"/>
        <v>0</v>
      </c>
      <c r="L43" s="388">
        <f t="shared" si="4"/>
        <v>0</v>
      </c>
      <c r="M43" s="388">
        <f t="shared" si="4"/>
        <v>0</v>
      </c>
      <c r="N43" s="388">
        <f t="shared" si="4"/>
        <v>0</v>
      </c>
      <c r="O43" s="388">
        <f t="shared" si="4"/>
        <v>0</v>
      </c>
      <c r="P43" s="388">
        <f t="shared" si="4"/>
        <v>0</v>
      </c>
      <c r="Q43" s="388">
        <f t="shared" si="4"/>
        <v>0</v>
      </c>
      <c r="R43" s="388">
        <f t="shared" si="4"/>
        <v>0</v>
      </c>
      <c r="S43" s="388">
        <f t="shared" si="4"/>
        <v>0</v>
      </c>
      <c r="T43" s="388">
        <f t="shared" si="4"/>
        <v>0</v>
      </c>
      <c r="U43" s="388">
        <f t="shared" si="4"/>
        <v>0</v>
      </c>
      <c r="V43" s="388">
        <f t="shared" si="4"/>
        <v>152</v>
      </c>
      <c r="W43" s="390">
        <f>+V43/I43*100</f>
        <v>28.14814814814815</v>
      </c>
    </row>
    <row r="44" spans="1:23" ht="17.25" thickBot="1">
      <c r="A44" s="385" t="s">
        <v>554</v>
      </c>
      <c r="B44" s="398"/>
      <c r="C44" s="386" t="s">
        <v>555</v>
      </c>
      <c r="D44" s="387">
        <f>+D41-D35</f>
        <v>64</v>
      </c>
      <c r="E44" s="387">
        <f>+E41-E35</f>
        <v>290</v>
      </c>
      <c r="F44" s="352"/>
      <c r="G44" s="352"/>
      <c r="H44" s="352"/>
      <c r="I44" s="388">
        <f>+I41-I35</f>
        <v>0</v>
      </c>
      <c r="J44" s="388">
        <f aca="true" t="shared" si="5" ref="J44:V44">+J41-J35</f>
        <v>0</v>
      </c>
      <c r="K44" s="388">
        <f t="shared" si="5"/>
        <v>0</v>
      </c>
      <c r="L44" s="388">
        <f t="shared" si="5"/>
        <v>0</v>
      </c>
      <c r="M44" s="388">
        <f t="shared" si="5"/>
        <v>0</v>
      </c>
      <c r="N44" s="388">
        <f t="shared" si="5"/>
        <v>0</v>
      </c>
      <c r="O44" s="388">
        <f t="shared" si="5"/>
        <v>0</v>
      </c>
      <c r="P44" s="388">
        <f t="shared" si="5"/>
        <v>0</v>
      </c>
      <c r="Q44" s="388">
        <f t="shared" si="5"/>
        <v>0</v>
      </c>
      <c r="R44" s="388">
        <f t="shared" si="5"/>
        <v>0</v>
      </c>
      <c r="S44" s="388">
        <f t="shared" si="5"/>
        <v>0</v>
      </c>
      <c r="T44" s="388">
        <f t="shared" si="5"/>
        <v>0</v>
      </c>
      <c r="U44" s="388">
        <f t="shared" si="5"/>
        <v>0</v>
      </c>
      <c r="V44" s="388">
        <f t="shared" si="5"/>
        <v>15</v>
      </c>
      <c r="W44" s="390" t="e">
        <f>+V44/I44*100</f>
        <v>#DIV/0!</v>
      </c>
    </row>
    <row r="45" spans="1:23" ht="17.25" thickBot="1">
      <c r="A45" s="397" t="s">
        <v>556</v>
      </c>
      <c r="B45" s="398"/>
      <c r="C45" s="400"/>
      <c r="D45" s="401">
        <f>+D44-D39</f>
        <v>-6741</v>
      </c>
      <c r="E45" s="401">
        <f>+E44-E39</f>
        <v>-6689</v>
      </c>
      <c r="F45" s="352"/>
      <c r="G45" s="352"/>
      <c r="H45" s="352"/>
      <c r="I45" s="388">
        <f aca="true" t="shared" si="6" ref="I45:V45">I44-I39</f>
        <v>-8556</v>
      </c>
      <c r="J45" s="388">
        <f t="shared" si="6"/>
        <v>0</v>
      </c>
      <c r="K45" s="388">
        <f t="shared" si="6"/>
        <v>0</v>
      </c>
      <c r="L45" s="388">
        <f t="shared" si="6"/>
        <v>0</v>
      </c>
      <c r="M45" s="388">
        <f t="shared" si="6"/>
        <v>0</v>
      </c>
      <c r="N45" s="388">
        <f t="shared" si="6"/>
        <v>0</v>
      </c>
      <c r="O45" s="388">
        <f t="shared" si="6"/>
        <v>0</v>
      </c>
      <c r="P45" s="388">
        <f t="shared" si="6"/>
        <v>0</v>
      </c>
      <c r="Q45" s="388">
        <f t="shared" si="6"/>
        <v>0</v>
      </c>
      <c r="R45" s="388">
        <f t="shared" si="6"/>
        <v>0</v>
      </c>
      <c r="S45" s="388">
        <f t="shared" si="6"/>
        <v>0</v>
      </c>
      <c r="T45" s="388">
        <f t="shared" si="6"/>
        <v>0</v>
      </c>
      <c r="U45" s="388">
        <f t="shared" si="6"/>
        <v>0</v>
      </c>
      <c r="V45" s="388">
        <f t="shared" si="6"/>
        <v>-5479</v>
      </c>
      <c r="W45" s="390">
        <f>+V45/I45*100</f>
        <v>64.03693314633007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2.28125" style="6" customWidth="1"/>
    <col min="2" max="2" width="10.57421875" style="6" customWidth="1"/>
    <col min="3" max="3" width="14.00390625" style="6" customWidth="1"/>
    <col min="4" max="8" width="0" style="6" hidden="1" customWidth="1"/>
    <col min="9" max="9" width="10.28125" style="6" customWidth="1"/>
    <col min="10" max="21" width="0" style="6" hidden="1" customWidth="1"/>
    <col min="22" max="23" width="10.28125" style="6" customWidth="1"/>
    <col min="24" max="16384" width="9.140625" style="6" customWidth="1"/>
  </cols>
  <sheetData>
    <row r="1" spans="1:9" ht="25.5">
      <c r="A1" s="278" t="s">
        <v>459</v>
      </c>
      <c r="B1" s="279"/>
      <c r="C1" s="280"/>
      <c r="D1" s="280"/>
      <c r="E1" s="280"/>
      <c r="F1" s="280"/>
      <c r="G1" s="280"/>
      <c r="H1" s="280"/>
      <c r="I1" s="283"/>
    </row>
    <row r="2" spans="1:9" ht="18">
      <c r="A2" s="284" t="s">
        <v>460</v>
      </c>
      <c r="B2" s="285"/>
      <c r="I2" s="286"/>
    </row>
    <row r="3" spans="1:9" ht="12.75">
      <c r="A3" s="286"/>
      <c r="B3" s="286"/>
      <c r="I3" s="286"/>
    </row>
    <row r="4" spans="9:15" ht="13.5" thickBot="1">
      <c r="I4" s="286"/>
      <c r="M4" s="287"/>
      <c r="N4" s="287"/>
      <c r="O4" s="287"/>
    </row>
    <row r="5" spans="1:15" ht="16.5" thickBot="1">
      <c r="A5" s="288" t="s">
        <v>461</v>
      </c>
      <c r="B5" s="289" t="s">
        <v>559</v>
      </c>
      <c r="C5" s="291"/>
      <c r="D5" s="290"/>
      <c r="E5" s="290"/>
      <c r="F5" s="291"/>
      <c r="H5" s="292"/>
      <c r="I5" s="293"/>
      <c r="M5" s="287"/>
      <c r="N5" s="287"/>
      <c r="O5" s="287"/>
    </row>
    <row r="6" spans="1:9" ht="13.5" thickBot="1">
      <c r="A6" s="283" t="s">
        <v>463</v>
      </c>
      <c r="B6" s="283"/>
      <c r="I6" s="286"/>
    </row>
    <row r="7" spans="1:23" ht="15.75">
      <c r="A7" s="294"/>
      <c r="B7" s="295"/>
      <c r="C7" s="296"/>
      <c r="D7" s="297"/>
      <c r="E7" s="297"/>
      <c r="F7" s="297"/>
      <c r="G7" s="297"/>
      <c r="H7" s="297"/>
      <c r="I7" s="298" t="s">
        <v>6</v>
      </c>
      <c r="J7" s="299"/>
      <c r="K7" s="300"/>
      <c r="L7" s="300"/>
      <c r="M7" s="300"/>
      <c r="N7" s="300"/>
      <c r="O7" s="301"/>
      <c r="P7" s="300"/>
      <c r="Q7" s="300"/>
      <c r="R7" s="300"/>
      <c r="S7" s="300"/>
      <c r="T7" s="300"/>
      <c r="U7" s="300"/>
      <c r="V7" s="302" t="s">
        <v>464</v>
      </c>
      <c r="W7" s="298" t="s">
        <v>465</v>
      </c>
    </row>
    <row r="8" spans="1:23" ht="13.5" thickBot="1">
      <c r="A8" s="303" t="s">
        <v>210</v>
      </c>
      <c r="B8" s="304"/>
      <c r="C8" s="305"/>
      <c r="D8" s="306" t="s">
        <v>466</v>
      </c>
      <c r="E8" s="306" t="s">
        <v>467</v>
      </c>
      <c r="F8" s="306"/>
      <c r="G8" s="306"/>
      <c r="H8" s="306"/>
      <c r="I8" s="307">
        <v>2010</v>
      </c>
      <c r="J8" s="308" t="s">
        <v>468</v>
      </c>
      <c r="K8" s="309" t="s">
        <v>469</v>
      </c>
      <c r="L8" s="309" t="s">
        <v>470</v>
      </c>
      <c r="M8" s="309" t="s">
        <v>471</v>
      </c>
      <c r="N8" s="309" t="s">
        <v>472</v>
      </c>
      <c r="O8" s="309" t="s">
        <v>473</v>
      </c>
      <c r="P8" s="309" t="s">
        <v>474</v>
      </c>
      <c r="Q8" s="309" t="s">
        <v>475</v>
      </c>
      <c r="R8" s="309" t="s">
        <v>476</v>
      </c>
      <c r="S8" s="309" t="s">
        <v>477</v>
      </c>
      <c r="T8" s="309" t="s">
        <v>478</v>
      </c>
      <c r="U8" s="308" t="s">
        <v>479</v>
      </c>
      <c r="V8" s="310" t="s">
        <v>480</v>
      </c>
      <c r="W8" s="307" t="s">
        <v>481</v>
      </c>
    </row>
    <row r="9" spans="1:23" ht="16.5">
      <c r="A9" s="311" t="s">
        <v>482</v>
      </c>
      <c r="B9" s="312"/>
      <c r="C9" s="313"/>
      <c r="D9" s="314">
        <v>22</v>
      </c>
      <c r="E9" s="314">
        <v>23</v>
      </c>
      <c r="F9" s="268"/>
      <c r="G9" s="268"/>
      <c r="H9" s="268"/>
      <c r="I9" s="315">
        <v>139</v>
      </c>
      <c r="J9" s="316"/>
      <c r="K9" s="317"/>
      <c r="L9" s="317"/>
      <c r="M9" s="317"/>
      <c r="N9" s="271"/>
      <c r="O9" s="271"/>
      <c r="P9" s="269"/>
      <c r="Q9" s="269"/>
      <c r="R9" s="269"/>
      <c r="S9" s="269"/>
      <c r="T9" s="269"/>
      <c r="U9" s="269"/>
      <c r="V9" s="407">
        <v>141</v>
      </c>
      <c r="W9" s="318" t="s">
        <v>483</v>
      </c>
    </row>
    <row r="10" spans="1:23" ht="17.25" thickBot="1">
      <c r="A10" s="319" t="s">
        <v>484</v>
      </c>
      <c r="B10" s="320"/>
      <c r="C10" s="321"/>
      <c r="D10" s="322">
        <v>20.91</v>
      </c>
      <c r="E10" s="322">
        <v>21.91</v>
      </c>
      <c r="F10" s="323"/>
      <c r="G10" s="323"/>
      <c r="H10" s="323"/>
      <c r="I10" s="405">
        <v>137</v>
      </c>
      <c r="J10" s="325"/>
      <c r="K10" s="326"/>
      <c r="L10" s="327"/>
      <c r="M10" s="327"/>
      <c r="N10" s="326"/>
      <c r="O10" s="326"/>
      <c r="P10" s="328"/>
      <c r="Q10" s="328"/>
      <c r="R10" s="328"/>
      <c r="S10" s="328"/>
      <c r="T10" s="328"/>
      <c r="U10" s="329"/>
      <c r="V10" s="330">
        <v>137.1</v>
      </c>
      <c r="W10" s="331" t="s">
        <v>483</v>
      </c>
    </row>
    <row r="11" spans="1:23" ht="16.5">
      <c r="A11" s="332" t="s">
        <v>485</v>
      </c>
      <c r="B11" s="312"/>
      <c r="C11" s="333" t="s">
        <v>486</v>
      </c>
      <c r="D11" s="334">
        <v>4630</v>
      </c>
      <c r="E11" s="334">
        <v>5103</v>
      </c>
      <c r="F11" s="273"/>
      <c r="G11" s="273"/>
      <c r="H11" s="272"/>
      <c r="I11" s="335" t="s">
        <v>483</v>
      </c>
      <c r="J11" s="336"/>
      <c r="K11" s="337"/>
      <c r="L11" s="337"/>
      <c r="M11" s="338"/>
      <c r="N11" s="339"/>
      <c r="O11" s="339"/>
      <c r="P11" s="339"/>
      <c r="Q11" s="339"/>
      <c r="R11" s="339"/>
      <c r="S11" s="339"/>
      <c r="T11" s="339"/>
      <c r="U11" s="336"/>
      <c r="V11" s="406">
        <v>9570</v>
      </c>
      <c r="W11" s="335" t="s">
        <v>483</v>
      </c>
    </row>
    <row r="12" spans="1:23" ht="16.5">
      <c r="A12" s="332" t="s">
        <v>487</v>
      </c>
      <c r="B12" s="340"/>
      <c r="C12" s="333" t="s">
        <v>488</v>
      </c>
      <c r="D12" s="341">
        <v>3811</v>
      </c>
      <c r="E12" s="341">
        <v>4577</v>
      </c>
      <c r="F12" s="273"/>
      <c r="G12" s="273"/>
      <c r="H12" s="273"/>
      <c r="I12" s="335" t="s">
        <v>483</v>
      </c>
      <c r="J12" s="342"/>
      <c r="K12" s="343"/>
      <c r="L12" s="343"/>
      <c r="M12" s="344"/>
      <c r="N12" s="339"/>
      <c r="O12" s="339"/>
      <c r="P12" s="339"/>
      <c r="Q12" s="339"/>
      <c r="R12" s="339"/>
      <c r="S12" s="339"/>
      <c r="T12" s="339"/>
      <c r="U12" s="336"/>
      <c r="V12" s="406">
        <v>7312</v>
      </c>
      <c r="W12" s="335" t="s">
        <v>483</v>
      </c>
    </row>
    <row r="13" spans="1:23" ht="16.5">
      <c r="A13" s="332" t="s">
        <v>489</v>
      </c>
      <c r="B13" s="312"/>
      <c r="C13" s="333" t="s">
        <v>490</v>
      </c>
      <c r="D13" s="341">
        <v>0</v>
      </c>
      <c r="E13" s="341">
        <v>0</v>
      </c>
      <c r="F13" s="273"/>
      <c r="G13" s="273"/>
      <c r="H13" s="273"/>
      <c r="I13" s="335" t="s">
        <v>483</v>
      </c>
      <c r="J13" s="342"/>
      <c r="K13" s="343"/>
      <c r="L13" s="344"/>
      <c r="M13" s="344"/>
      <c r="N13" s="339"/>
      <c r="O13" s="339"/>
      <c r="P13" s="339"/>
      <c r="Q13" s="339"/>
      <c r="R13" s="339"/>
      <c r="S13" s="339"/>
      <c r="T13" s="339"/>
      <c r="U13" s="336"/>
      <c r="V13" s="406">
        <v>965</v>
      </c>
      <c r="W13" s="335" t="s">
        <v>483</v>
      </c>
    </row>
    <row r="14" spans="1:23" ht="16.5">
      <c r="A14" s="332" t="s">
        <v>491</v>
      </c>
      <c r="B14" s="340"/>
      <c r="C14" s="333" t="s">
        <v>492</v>
      </c>
      <c r="D14" s="341">
        <v>0</v>
      </c>
      <c r="E14" s="341">
        <v>0</v>
      </c>
      <c r="F14" s="273"/>
      <c r="G14" s="273"/>
      <c r="H14" s="273"/>
      <c r="I14" s="335" t="s">
        <v>483</v>
      </c>
      <c r="J14" s="342"/>
      <c r="K14" s="343"/>
      <c r="L14" s="344"/>
      <c r="M14" s="344"/>
      <c r="N14" s="339"/>
      <c r="O14" s="339"/>
      <c r="P14" s="339"/>
      <c r="Q14" s="339"/>
      <c r="R14" s="339"/>
      <c r="S14" s="339"/>
      <c r="T14" s="339"/>
      <c r="U14" s="336"/>
      <c r="V14" s="406">
        <v>1443</v>
      </c>
      <c r="W14" s="335" t="s">
        <v>483</v>
      </c>
    </row>
    <row r="15" spans="1:23" ht="17.25" thickBot="1">
      <c r="A15" s="311" t="s">
        <v>493</v>
      </c>
      <c r="B15" s="312"/>
      <c r="C15" s="345" t="s">
        <v>494</v>
      </c>
      <c r="D15" s="346">
        <v>869</v>
      </c>
      <c r="E15" s="346">
        <v>1024</v>
      </c>
      <c r="F15" s="270"/>
      <c r="G15" s="270"/>
      <c r="H15" s="270"/>
      <c r="I15" s="318" t="s">
        <v>483</v>
      </c>
      <c r="J15" s="347"/>
      <c r="K15" s="271"/>
      <c r="L15" s="317"/>
      <c r="M15" s="317"/>
      <c r="N15" s="271"/>
      <c r="O15" s="271"/>
      <c r="P15" s="271"/>
      <c r="Q15" s="271"/>
      <c r="R15" s="271"/>
      <c r="S15" s="271"/>
      <c r="T15" s="271"/>
      <c r="U15" s="271"/>
      <c r="V15" s="407">
        <v>8505</v>
      </c>
      <c r="W15" s="318" t="s">
        <v>483</v>
      </c>
    </row>
    <row r="16" spans="1:23" ht="17.25" thickBot="1">
      <c r="A16" s="348" t="s">
        <v>495</v>
      </c>
      <c r="B16" s="349"/>
      <c r="C16" s="350"/>
      <c r="D16" s="351">
        <v>1838</v>
      </c>
      <c r="E16" s="351">
        <v>1811</v>
      </c>
      <c r="F16" s="352"/>
      <c r="G16" s="352"/>
      <c r="H16" s="352"/>
      <c r="I16" s="353" t="s">
        <v>483</v>
      </c>
      <c r="J16" s="354"/>
      <c r="K16" s="355"/>
      <c r="L16" s="356"/>
      <c r="M16" s="356"/>
      <c r="N16" s="355"/>
      <c r="O16" s="355"/>
      <c r="P16" s="355"/>
      <c r="Q16" s="355"/>
      <c r="R16" s="355"/>
      <c r="S16" s="355"/>
      <c r="T16" s="355"/>
      <c r="U16" s="354"/>
      <c r="V16" s="408">
        <v>13172</v>
      </c>
      <c r="W16" s="353" t="s">
        <v>483</v>
      </c>
    </row>
    <row r="17" spans="1:23" ht="16.5">
      <c r="A17" s="311" t="s">
        <v>496</v>
      </c>
      <c r="B17" s="312"/>
      <c r="C17" s="345" t="s">
        <v>497</v>
      </c>
      <c r="D17" s="346">
        <v>833</v>
      </c>
      <c r="E17" s="346">
        <v>540</v>
      </c>
      <c r="F17" s="270"/>
      <c r="G17" s="270"/>
      <c r="H17" s="270"/>
      <c r="I17" s="318" t="s">
        <v>483</v>
      </c>
      <c r="J17" s="347"/>
      <c r="K17" s="271"/>
      <c r="L17" s="317"/>
      <c r="M17" s="317"/>
      <c r="N17" s="271"/>
      <c r="O17" s="271"/>
      <c r="P17" s="271"/>
      <c r="Q17" s="271"/>
      <c r="R17" s="271"/>
      <c r="S17" s="271"/>
      <c r="T17" s="271"/>
      <c r="U17" s="271"/>
      <c r="V17" s="407">
        <v>2267</v>
      </c>
      <c r="W17" s="318" t="s">
        <v>483</v>
      </c>
    </row>
    <row r="18" spans="1:23" ht="16.5">
      <c r="A18" s="332" t="s">
        <v>498</v>
      </c>
      <c r="B18" s="340"/>
      <c r="C18" s="333" t="s">
        <v>499</v>
      </c>
      <c r="D18" s="334">
        <v>584</v>
      </c>
      <c r="E18" s="334">
        <v>483</v>
      </c>
      <c r="F18" s="273"/>
      <c r="G18" s="273"/>
      <c r="H18" s="273"/>
      <c r="I18" s="335" t="s">
        <v>483</v>
      </c>
      <c r="J18" s="336"/>
      <c r="K18" s="339"/>
      <c r="L18" s="338"/>
      <c r="M18" s="338"/>
      <c r="N18" s="339"/>
      <c r="O18" s="339"/>
      <c r="P18" s="339"/>
      <c r="Q18" s="339"/>
      <c r="R18" s="339"/>
      <c r="S18" s="339"/>
      <c r="T18" s="339"/>
      <c r="U18" s="336"/>
      <c r="V18" s="406">
        <v>1718</v>
      </c>
      <c r="W18" s="335" t="s">
        <v>483</v>
      </c>
    </row>
    <row r="19" spans="1:23" ht="16.5">
      <c r="A19" s="332" t="s">
        <v>500</v>
      </c>
      <c r="B19" s="340"/>
      <c r="C19" s="333" t="s">
        <v>501</v>
      </c>
      <c r="D19" s="341">
        <v>0</v>
      </c>
      <c r="E19" s="341">
        <v>0</v>
      </c>
      <c r="F19" s="273"/>
      <c r="G19" s="273"/>
      <c r="H19" s="273"/>
      <c r="I19" s="335" t="s">
        <v>483</v>
      </c>
      <c r="J19" s="342"/>
      <c r="K19" s="343"/>
      <c r="L19" s="344"/>
      <c r="M19" s="344"/>
      <c r="N19" s="339"/>
      <c r="O19" s="339"/>
      <c r="P19" s="339"/>
      <c r="Q19" s="339"/>
      <c r="R19" s="339"/>
      <c r="S19" s="339"/>
      <c r="T19" s="339"/>
      <c r="U19" s="336"/>
      <c r="V19" s="406">
        <v>0</v>
      </c>
      <c r="W19" s="335" t="s">
        <v>483</v>
      </c>
    </row>
    <row r="20" spans="1:23" ht="16.5">
      <c r="A20" s="332" t="s">
        <v>502</v>
      </c>
      <c r="B20" s="312"/>
      <c r="C20" s="333" t="s">
        <v>503</v>
      </c>
      <c r="D20" s="341">
        <v>225</v>
      </c>
      <c r="E20" s="341">
        <v>259</v>
      </c>
      <c r="F20" s="273"/>
      <c r="G20" s="273"/>
      <c r="H20" s="273"/>
      <c r="I20" s="335" t="s">
        <v>483</v>
      </c>
      <c r="J20" s="342"/>
      <c r="K20" s="343"/>
      <c r="L20" s="344"/>
      <c r="M20" s="344"/>
      <c r="N20" s="339"/>
      <c r="O20" s="339"/>
      <c r="P20" s="339"/>
      <c r="Q20" s="339"/>
      <c r="R20" s="339"/>
      <c r="S20" s="339"/>
      <c r="T20" s="339"/>
      <c r="U20" s="336"/>
      <c r="V20" s="406">
        <v>5163</v>
      </c>
      <c r="W20" s="335" t="s">
        <v>483</v>
      </c>
    </row>
    <row r="21" spans="1:23" ht="17.25" thickBot="1">
      <c r="A21" s="332" t="s">
        <v>504</v>
      </c>
      <c r="B21" s="320"/>
      <c r="C21" s="333" t="s">
        <v>505</v>
      </c>
      <c r="D21" s="341">
        <v>0</v>
      </c>
      <c r="E21" s="341">
        <v>0</v>
      </c>
      <c r="F21" s="357"/>
      <c r="G21" s="357"/>
      <c r="H21" s="357"/>
      <c r="I21" s="335" t="s">
        <v>483</v>
      </c>
      <c r="J21" s="342"/>
      <c r="K21" s="343"/>
      <c r="L21" s="344"/>
      <c r="M21" s="344"/>
      <c r="N21" s="339"/>
      <c r="O21" s="339"/>
      <c r="P21" s="339"/>
      <c r="Q21" s="339"/>
      <c r="R21" s="339"/>
      <c r="S21" s="339"/>
      <c r="T21" s="339"/>
      <c r="U21" s="336"/>
      <c r="V21" s="406">
        <v>0</v>
      </c>
      <c r="W21" s="335" t="s">
        <v>483</v>
      </c>
    </row>
    <row r="22" spans="1:23" ht="16.5">
      <c r="A22" s="358" t="s">
        <v>506</v>
      </c>
      <c r="B22" s="312"/>
      <c r="C22" s="359"/>
      <c r="D22" s="360">
        <v>6805</v>
      </c>
      <c r="E22" s="360">
        <v>6979</v>
      </c>
      <c r="F22" s="272"/>
      <c r="G22" s="272"/>
      <c r="H22" s="272"/>
      <c r="I22" s="361">
        <v>25027</v>
      </c>
      <c r="J22" s="362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62"/>
      <c r="V22" s="363">
        <v>17329</v>
      </c>
      <c r="W22" s="364">
        <f>+V22/I22*100</f>
        <v>69.2412194829584</v>
      </c>
    </row>
    <row r="23" spans="1:23" ht="16.5">
      <c r="A23" s="332" t="s">
        <v>507</v>
      </c>
      <c r="B23" s="340"/>
      <c r="C23" s="365"/>
      <c r="D23" s="334"/>
      <c r="E23" s="334"/>
      <c r="F23" s="273"/>
      <c r="G23" s="273"/>
      <c r="H23" s="273"/>
      <c r="I23" s="366">
        <v>0</v>
      </c>
      <c r="J23" s="336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6"/>
      <c r="V23" s="367">
        <v>0</v>
      </c>
      <c r="W23" s="368" t="e">
        <f>+V23/I23*100</f>
        <v>#DIV/0!</v>
      </c>
    </row>
    <row r="24" spans="1:23" ht="17.25" thickBot="1">
      <c r="A24" s="369" t="s">
        <v>508</v>
      </c>
      <c r="B24" s="312"/>
      <c r="C24" s="370"/>
      <c r="D24" s="371">
        <v>6505</v>
      </c>
      <c r="E24" s="371">
        <v>6369</v>
      </c>
      <c r="F24" s="274"/>
      <c r="G24" s="274"/>
      <c r="H24" s="274"/>
      <c r="I24" s="372">
        <v>7700</v>
      </c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3"/>
      <c r="V24" s="375">
        <v>6200</v>
      </c>
      <c r="W24" s="376">
        <f>+V24/I24*100</f>
        <v>80.51948051948052</v>
      </c>
    </row>
    <row r="25" spans="1:23" ht="16.5">
      <c r="A25" s="332" t="s">
        <v>509</v>
      </c>
      <c r="B25" s="377" t="s">
        <v>510</v>
      </c>
      <c r="C25" s="333" t="s">
        <v>511</v>
      </c>
      <c r="D25" s="334">
        <v>2275</v>
      </c>
      <c r="E25" s="334">
        <v>2131</v>
      </c>
      <c r="F25" s="273"/>
      <c r="G25" s="273"/>
      <c r="H25" s="273"/>
      <c r="I25" s="378">
        <v>14500</v>
      </c>
      <c r="J25" s="336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6"/>
      <c r="V25" s="367">
        <v>6959</v>
      </c>
      <c r="W25" s="368">
        <f aca="true" t="shared" si="0" ref="W25:W34">+V25/I25*100</f>
        <v>47.99310344827587</v>
      </c>
    </row>
    <row r="26" spans="1:23" ht="16.5">
      <c r="A26" s="332" t="s">
        <v>512</v>
      </c>
      <c r="B26" s="379" t="s">
        <v>513</v>
      </c>
      <c r="C26" s="333" t="s">
        <v>514</v>
      </c>
      <c r="D26" s="341">
        <v>269</v>
      </c>
      <c r="E26" s="341">
        <v>415</v>
      </c>
      <c r="F26" s="275"/>
      <c r="G26" s="275"/>
      <c r="H26" s="275"/>
      <c r="I26" s="366">
        <v>4600</v>
      </c>
      <c r="J26" s="336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6"/>
      <c r="V26" s="367">
        <v>2308</v>
      </c>
      <c r="W26" s="368">
        <f t="shared" si="0"/>
        <v>50.17391304347826</v>
      </c>
    </row>
    <row r="27" spans="1:23" ht="16.5">
      <c r="A27" s="332" t="s">
        <v>515</v>
      </c>
      <c r="B27" s="380" t="s">
        <v>516</v>
      </c>
      <c r="C27" s="333" t="s">
        <v>517</v>
      </c>
      <c r="D27" s="341">
        <v>0</v>
      </c>
      <c r="E27" s="341">
        <v>1</v>
      </c>
      <c r="F27" s="275"/>
      <c r="G27" s="275"/>
      <c r="H27" s="275"/>
      <c r="I27" s="366">
        <v>0</v>
      </c>
      <c r="J27" s="336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6"/>
      <c r="V27" s="367">
        <v>0</v>
      </c>
      <c r="W27" s="368" t="e">
        <f t="shared" si="0"/>
        <v>#DIV/0!</v>
      </c>
    </row>
    <row r="28" spans="1:23" ht="16.5">
      <c r="A28" s="332" t="s">
        <v>518</v>
      </c>
      <c r="B28" s="380" t="s">
        <v>519</v>
      </c>
      <c r="C28" s="333" t="s">
        <v>520</v>
      </c>
      <c r="D28" s="341">
        <v>582</v>
      </c>
      <c r="E28" s="341">
        <v>430</v>
      </c>
      <c r="F28" s="275"/>
      <c r="G28" s="275"/>
      <c r="H28" s="275"/>
      <c r="I28" s="366">
        <v>1000</v>
      </c>
      <c r="J28" s="336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6"/>
      <c r="V28" s="367">
        <v>2217</v>
      </c>
      <c r="W28" s="368">
        <f t="shared" si="0"/>
        <v>221.70000000000002</v>
      </c>
    </row>
    <row r="29" spans="1:23" ht="16.5">
      <c r="A29" s="332" t="s">
        <v>521</v>
      </c>
      <c r="B29" s="379" t="s">
        <v>522</v>
      </c>
      <c r="C29" s="333" t="s">
        <v>523</v>
      </c>
      <c r="D29" s="341">
        <v>566</v>
      </c>
      <c r="E29" s="341">
        <v>656</v>
      </c>
      <c r="F29" s="275"/>
      <c r="G29" s="275"/>
      <c r="H29" s="275"/>
      <c r="I29" s="366">
        <v>4400</v>
      </c>
      <c r="J29" s="336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6"/>
      <c r="V29" s="367">
        <v>2796</v>
      </c>
      <c r="W29" s="368">
        <f t="shared" si="0"/>
        <v>63.54545454545455</v>
      </c>
    </row>
    <row r="30" spans="1:23" ht="16.5">
      <c r="A30" s="332" t="s">
        <v>524</v>
      </c>
      <c r="B30" s="380" t="s">
        <v>525</v>
      </c>
      <c r="C30" s="333" t="s">
        <v>526</v>
      </c>
      <c r="D30" s="341">
        <v>2457</v>
      </c>
      <c r="E30" s="341">
        <v>2785</v>
      </c>
      <c r="F30" s="275"/>
      <c r="G30" s="275"/>
      <c r="H30" s="275"/>
      <c r="I30" s="366">
        <v>28000</v>
      </c>
      <c r="J30" s="336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6"/>
      <c r="V30" s="367">
        <v>14540</v>
      </c>
      <c r="W30" s="368">
        <f>+V30/I30*100</f>
        <v>51.92857142857142</v>
      </c>
    </row>
    <row r="31" spans="1:23" ht="16.5">
      <c r="A31" s="332" t="s">
        <v>527</v>
      </c>
      <c r="B31" s="380" t="s">
        <v>528</v>
      </c>
      <c r="C31" s="333" t="s">
        <v>529</v>
      </c>
      <c r="D31" s="341">
        <v>943</v>
      </c>
      <c r="E31" s="341">
        <v>1044</v>
      </c>
      <c r="F31" s="275"/>
      <c r="G31" s="275"/>
      <c r="H31" s="275"/>
      <c r="I31" s="366">
        <v>10060</v>
      </c>
      <c r="J31" s="336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6"/>
      <c r="V31" s="367">
        <v>4937</v>
      </c>
      <c r="W31" s="368">
        <f>+V31/I31*100</f>
        <v>49.07554671968191</v>
      </c>
    </row>
    <row r="32" spans="1:23" ht="16.5">
      <c r="A32" s="332" t="s">
        <v>530</v>
      </c>
      <c r="B32" s="379" t="s">
        <v>531</v>
      </c>
      <c r="C32" s="333" t="s">
        <v>532</v>
      </c>
      <c r="D32" s="341">
        <v>0</v>
      </c>
      <c r="E32" s="341">
        <v>0</v>
      </c>
      <c r="F32" s="275"/>
      <c r="G32" s="275"/>
      <c r="H32" s="275"/>
      <c r="I32" s="366">
        <v>0</v>
      </c>
      <c r="J32" s="336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6"/>
      <c r="V32" s="367">
        <v>0</v>
      </c>
      <c r="W32" s="368" t="e">
        <f t="shared" si="0"/>
        <v>#DIV/0!</v>
      </c>
    </row>
    <row r="33" spans="1:23" ht="16.5">
      <c r="A33" s="332" t="s">
        <v>533</v>
      </c>
      <c r="B33" s="380" t="s">
        <v>534</v>
      </c>
      <c r="C33" s="333" t="s">
        <v>535</v>
      </c>
      <c r="D33" s="341">
        <v>318</v>
      </c>
      <c r="E33" s="341">
        <v>252</v>
      </c>
      <c r="F33" s="275"/>
      <c r="G33" s="275"/>
      <c r="H33" s="275"/>
      <c r="I33" s="366">
        <v>800</v>
      </c>
      <c r="J33" s="336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6"/>
      <c r="V33" s="367">
        <v>300</v>
      </c>
      <c r="W33" s="368">
        <f t="shared" si="0"/>
        <v>37.5</v>
      </c>
    </row>
    <row r="34" spans="1:23" ht="17.25" thickBot="1">
      <c r="A34" s="311" t="s">
        <v>536</v>
      </c>
      <c r="B34" s="381"/>
      <c r="C34" s="345"/>
      <c r="D34" s="346">
        <v>98</v>
      </c>
      <c r="E34" s="346">
        <v>128</v>
      </c>
      <c r="F34" s="270"/>
      <c r="G34" s="270"/>
      <c r="H34" s="270"/>
      <c r="I34" s="382">
        <v>340</v>
      </c>
      <c r="J34" s="276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383">
        <v>805</v>
      </c>
      <c r="W34" s="384">
        <f t="shared" si="0"/>
        <v>236.76470588235296</v>
      </c>
    </row>
    <row r="35" spans="1:23" ht="17.25" thickBot="1">
      <c r="A35" s="385" t="s">
        <v>537</v>
      </c>
      <c r="B35" s="379"/>
      <c r="C35" s="386" t="s">
        <v>538</v>
      </c>
      <c r="D35" s="387">
        <v>7508</v>
      </c>
      <c r="E35" s="387">
        <f aca="true" t="shared" si="1" ref="E35:V35">SUM(E25:E34)</f>
        <v>7842</v>
      </c>
      <c r="F35" s="352"/>
      <c r="G35" s="352"/>
      <c r="H35" s="352"/>
      <c r="I35" s="388">
        <f t="shared" si="1"/>
        <v>63700</v>
      </c>
      <c r="J35" s="388">
        <f t="shared" si="1"/>
        <v>0</v>
      </c>
      <c r="K35" s="388">
        <f t="shared" si="1"/>
        <v>0</v>
      </c>
      <c r="L35" s="388">
        <f t="shared" si="1"/>
        <v>0</v>
      </c>
      <c r="M35" s="388">
        <f t="shared" si="1"/>
        <v>0</v>
      </c>
      <c r="N35" s="388">
        <f t="shared" si="1"/>
        <v>0</v>
      </c>
      <c r="O35" s="388">
        <f t="shared" si="1"/>
        <v>0</v>
      </c>
      <c r="P35" s="388">
        <f t="shared" si="1"/>
        <v>0</v>
      </c>
      <c r="Q35" s="388">
        <f t="shared" si="1"/>
        <v>0</v>
      </c>
      <c r="R35" s="388">
        <f t="shared" si="1"/>
        <v>0</v>
      </c>
      <c r="S35" s="388">
        <f t="shared" si="1"/>
        <v>0</v>
      </c>
      <c r="T35" s="388">
        <f t="shared" si="1"/>
        <v>0</v>
      </c>
      <c r="U35" s="388">
        <f t="shared" si="1"/>
        <v>0</v>
      </c>
      <c r="V35" s="388">
        <f t="shared" si="1"/>
        <v>34862</v>
      </c>
      <c r="W35" s="390">
        <f>+V35/I35*100</f>
        <v>54.728414442700156</v>
      </c>
    </row>
    <row r="36" spans="1:23" ht="16.5">
      <c r="A36" s="332" t="s">
        <v>539</v>
      </c>
      <c r="B36" s="377" t="s">
        <v>540</v>
      </c>
      <c r="C36" s="333" t="s">
        <v>541</v>
      </c>
      <c r="D36" s="334">
        <v>0</v>
      </c>
      <c r="E36" s="334">
        <v>0</v>
      </c>
      <c r="F36" s="273"/>
      <c r="G36" s="273"/>
      <c r="H36" s="273"/>
      <c r="I36" s="378">
        <v>2900</v>
      </c>
      <c r="J36" s="336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6"/>
      <c r="V36" s="367">
        <v>1396</v>
      </c>
      <c r="W36" s="368">
        <f aca="true" t="shared" si="2" ref="W36:W41">+V36/I36*100</f>
        <v>48.137931034482754</v>
      </c>
    </row>
    <row r="37" spans="1:23" ht="16.5">
      <c r="A37" s="332" t="s">
        <v>542</v>
      </c>
      <c r="B37" s="380" t="s">
        <v>543</v>
      </c>
      <c r="C37" s="333" t="s">
        <v>544</v>
      </c>
      <c r="D37" s="341">
        <v>716</v>
      </c>
      <c r="E37" s="341">
        <v>715</v>
      </c>
      <c r="F37" s="275"/>
      <c r="G37" s="275"/>
      <c r="H37" s="275"/>
      <c r="I37" s="366">
        <v>5500</v>
      </c>
      <c r="J37" s="336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6"/>
      <c r="V37" s="367">
        <v>2794</v>
      </c>
      <c r="W37" s="368">
        <f t="shared" si="2"/>
        <v>50.8</v>
      </c>
    </row>
    <row r="38" spans="1:23" ht="16.5">
      <c r="A38" s="332" t="s">
        <v>545</v>
      </c>
      <c r="B38" s="379" t="s">
        <v>546</v>
      </c>
      <c r="C38" s="333" t="s">
        <v>547</v>
      </c>
      <c r="D38" s="341">
        <v>26</v>
      </c>
      <c r="E38" s="341">
        <v>32</v>
      </c>
      <c r="F38" s="275"/>
      <c r="G38" s="275"/>
      <c r="H38" s="275"/>
      <c r="I38" s="366">
        <v>0</v>
      </c>
      <c r="J38" s="336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6"/>
      <c r="V38" s="367">
        <v>0</v>
      </c>
      <c r="W38" s="368" t="e">
        <f t="shared" si="2"/>
        <v>#DIV/0!</v>
      </c>
    </row>
    <row r="39" spans="1:23" ht="16.5">
      <c r="A39" s="332" t="s">
        <v>548</v>
      </c>
      <c r="B39" s="391"/>
      <c r="C39" s="333" t="s">
        <v>549</v>
      </c>
      <c r="D39" s="341">
        <v>6805</v>
      </c>
      <c r="E39" s="341">
        <v>6979</v>
      </c>
      <c r="F39" s="275"/>
      <c r="G39" s="275"/>
      <c r="H39" s="275"/>
      <c r="I39" s="366">
        <v>25027</v>
      </c>
      <c r="J39" s="336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6"/>
      <c r="V39" s="367">
        <v>18329</v>
      </c>
      <c r="W39" s="368">
        <f t="shared" si="2"/>
        <v>73.236904143525</v>
      </c>
    </row>
    <row r="40" spans="1:23" ht="17.25" thickBot="1">
      <c r="A40" s="311" t="s">
        <v>550</v>
      </c>
      <c r="B40" s="392"/>
      <c r="C40" s="393"/>
      <c r="D40" s="346">
        <v>25</v>
      </c>
      <c r="E40" s="346">
        <v>406</v>
      </c>
      <c r="F40" s="270"/>
      <c r="G40" s="270"/>
      <c r="H40" s="270"/>
      <c r="I40" s="378">
        <v>30273</v>
      </c>
      <c r="J40" s="276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367">
        <v>16366</v>
      </c>
      <c r="W40" s="368">
        <f t="shared" si="2"/>
        <v>54.06137482244905</v>
      </c>
    </row>
    <row r="41" spans="1:23" ht="17.25" thickBot="1">
      <c r="A41" s="385" t="s">
        <v>551</v>
      </c>
      <c r="B41" s="394"/>
      <c r="C41" s="386" t="s">
        <v>552</v>
      </c>
      <c r="D41" s="387">
        <f aca="true" t="shared" si="3" ref="D41:V41">SUM(D36:D40)</f>
        <v>7572</v>
      </c>
      <c r="E41" s="387">
        <f t="shared" si="3"/>
        <v>8132</v>
      </c>
      <c r="F41" s="352"/>
      <c r="G41" s="352"/>
      <c r="H41" s="352"/>
      <c r="I41" s="388">
        <f t="shared" si="3"/>
        <v>63700</v>
      </c>
      <c r="J41" s="388">
        <f t="shared" si="3"/>
        <v>0</v>
      </c>
      <c r="K41" s="388">
        <f t="shared" si="3"/>
        <v>0</v>
      </c>
      <c r="L41" s="388">
        <f t="shared" si="3"/>
        <v>0</v>
      </c>
      <c r="M41" s="388">
        <f t="shared" si="3"/>
        <v>0</v>
      </c>
      <c r="N41" s="388">
        <f t="shared" si="3"/>
        <v>0</v>
      </c>
      <c r="O41" s="388">
        <f t="shared" si="3"/>
        <v>0</v>
      </c>
      <c r="P41" s="388">
        <f t="shared" si="3"/>
        <v>0</v>
      </c>
      <c r="Q41" s="388">
        <f t="shared" si="3"/>
        <v>0</v>
      </c>
      <c r="R41" s="388">
        <f t="shared" si="3"/>
        <v>0</v>
      </c>
      <c r="S41" s="388">
        <f t="shared" si="3"/>
        <v>0</v>
      </c>
      <c r="T41" s="388">
        <f t="shared" si="3"/>
        <v>0</v>
      </c>
      <c r="U41" s="388">
        <f t="shared" si="3"/>
        <v>0</v>
      </c>
      <c r="V41" s="388">
        <f t="shared" si="3"/>
        <v>38885</v>
      </c>
      <c r="W41" s="390">
        <f t="shared" si="2"/>
        <v>61.04395604395605</v>
      </c>
    </row>
    <row r="42" spans="1:23" ht="6.75" customHeight="1" thickBot="1">
      <c r="A42" s="311"/>
      <c r="B42" s="349"/>
      <c r="C42" s="393"/>
      <c r="D42" s="346"/>
      <c r="E42" s="346"/>
      <c r="F42" s="277"/>
      <c r="G42" s="277"/>
      <c r="H42" s="277"/>
      <c r="I42" s="395"/>
      <c r="J42" s="347"/>
      <c r="K42" s="271"/>
      <c r="L42" s="317"/>
      <c r="M42" s="317"/>
      <c r="N42" s="271"/>
      <c r="O42" s="271"/>
      <c r="P42" s="271"/>
      <c r="Q42" s="271"/>
      <c r="R42" s="271"/>
      <c r="S42" s="271"/>
      <c r="T42" s="271"/>
      <c r="U42" s="396"/>
      <c r="V42" s="383"/>
      <c r="W42" s="384"/>
    </row>
    <row r="43" spans="1:23" ht="17.25" thickBot="1">
      <c r="A43" s="397" t="s">
        <v>553</v>
      </c>
      <c r="B43" s="398"/>
      <c r="C43" s="399"/>
      <c r="D43" s="387">
        <f>+D41-D39</f>
        <v>767</v>
      </c>
      <c r="E43" s="387">
        <f>+E41-E39</f>
        <v>1153</v>
      </c>
      <c r="F43" s="352"/>
      <c r="G43" s="352"/>
      <c r="H43" s="352"/>
      <c r="I43" s="388">
        <f aca="true" t="shared" si="4" ref="I43:V43">I36+I37+I38+I40</f>
        <v>38673</v>
      </c>
      <c r="J43" s="388">
        <f t="shared" si="4"/>
        <v>0</v>
      </c>
      <c r="K43" s="388">
        <f t="shared" si="4"/>
        <v>0</v>
      </c>
      <c r="L43" s="388">
        <f t="shared" si="4"/>
        <v>0</v>
      </c>
      <c r="M43" s="388">
        <f t="shared" si="4"/>
        <v>0</v>
      </c>
      <c r="N43" s="388">
        <f t="shared" si="4"/>
        <v>0</v>
      </c>
      <c r="O43" s="388">
        <f t="shared" si="4"/>
        <v>0</v>
      </c>
      <c r="P43" s="388">
        <f t="shared" si="4"/>
        <v>0</v>
      </c>
      <c r="Q43" s="388">
        <f t="shared" si="4"/>
        <v>0</v>
      </c>
      <c r="R43" s="388">
        <f t="shared" si="4"/>
        <v>0</v>
      </c>
      <c r="S43" s="388">
        <f t="shared" si="4"/>
        <v>0</v>
      </c>
      <c r="T43" s="388">
        <f t="shared" si="4"/>
        <v>0</v>
      </c>
      <c r="U43" s="388">
        <f t="shared" si="4"/>
        <v>0</v>
      </c>
      <c r="V43" s="388">
        <f t="shared" si="4"/>
        <v>20556</v>
      </c>
      <c r="W43" s="390">
        <f>+V43/I43*100</f>
        <v>53.15336281126367</v>
      </c>
    </row>
    <row r="44" spans="1:23" ht="17.25" thickBot="1">
      <c r="A44" s="385" t="s">
        <v>554</v>
      </c>
      <c r="B44" s="398"/>
      <c r="C44" s="386" t="s">
        <v>555</v>
      </c>
      <c r="D44" s="387">
        <f>+D41-D35</f>
        <v>64</v>
      </c>
      <c r="E44" s="387">
        <f>+E41-E35</f>
        <v>290</v>
      </c>
      <c r="F44" s="352"/>
      <c r="G44" s="352"/>
      <c r="H44" s="352"/>
      <c r="I44" s="388">
        <f>+I41-I35</f>
        <v>0</v>
      </c>
      <c r="J44" s="388">
        <f aca="true" t="shared" si="5" ref="J44:V44">+J41-J35</f>
        <v>0</v>
      </c>
      <c r="K44" s="388">
        <f t="shared" si="5"/>
        <v>0</v>
      </c>
      <c r="L44" s="388">
        <f t="shared" si="5"/>
        <v>0</v>
      </c>
      <c r="M44" s="388">
        <f t="shared" si="5"/>
        <v>0</v>
      </c>
      <c r="N44" s="388">
        <f t="shared" si="5"/>
        <v>0</v>
      </c>
      <c r="O44" s="388">
        <f t="shared" si="5"/>
        <v>0</v>
      </c>
      <c r="P44" s="388">
        <f t="shared" si="5"/>
        <v>0</v>
      </c>
      <c r="Q44" s="388">
        <f t="shared" si="5"/>
        <v>0</v>
      </c>
      <c r="R44" s="388">
        <f t="shared" si="5"/>
        <v>0</v>
      </c>
      <c r="S44" s="388">
        <f t="shared" si="5"/>
        <v>0</v>
      </c>
      <c r="T44" s="388">
        <f t="shared" si="5"/>
        <v>0</v>
      </c>
      <c r="U44" s="388">
        <f t="shared" si="5"/>
        <v>0</v>
      </c>
      <c r="V44" s="388">
        <f t="shared" si="5"/>
        <v>4023</v>
      </c>
      <c r="W44" s="390" t="e">
        <f>+V44/I44*100</f>
        <v>#DIV/0!</v>
      </c>
    </row>
    <row r="45" spans="1:23" ht="17.25" thickBot="1">
      <c r="A45" s="397" t="s">
        <v>556</v>
      </c>
      <c r="B45" s="398"/>
      <c r="C45" s="400"/>
      <c r="D45" s="401">
        <f>+D44-D39</f>
        <v>-6741</v>
      </c>
      <c r="E45" s="401">
        <f>+E44-E39</f>
        <v>-6689</v>
      </c>
      <c r="F45" s="352"/>
      <c r="G45" s="352"/>
      <c r="H45" s="352"/>
      <c r="I45" s="388">
        <f aca="true" t="shared" si="6" ref="I45:V45">I44-I39</f>
        <v>-25027</v>
      </c>
      <c r="J45" s="388">
        <f t="shared" si="6"/>
        <v>0</v>
      </c>
      <c r="K45" s="388">
        <f t="shared" si="6"/>
        <v>0</v>
      </c>
      <c r="L45" s="388">
        <f t="shared" si="6"/>
        <v>0</v>
      </c>
      <c r="M45" s="388">
        <f t="shared" si="6"/>
        <v>0</v>
      </c>
      <c r="N45" s="388">
        <f t="shared" si="6"/>
        <v>0</v>
      </c>
      <c r="O45" s="388">
        <f t="shared" si="6"/>
        <v>0</v>
      </c>
      <c r="P45" s="388">
        <f t="shared" si="6"/>
        <v>0</v>
      </c>
      <c r="Q45" s="388">
        <f t="shared" si="6"/>
        <v>0</v>
      </c>
      <c r="R45" s="388">
        <f t="shared" si="6"/>
        <v>0</v>
      </c>
      <c r="S45" s="388">
        <f t="shared" si="6"/>
        <v>0</v>
      </c>
      <c r="T45" s="388">
        <f t="shared" si="6"/>
        <v>0</v>
      </c>
      <c r="U45" s="388">
        <f t="shared" si="6"/>
        <v>0</v>
      </c>
      <c r="V45" s="388">
        <f t="shared" si="6"/>
        <v>-14306</v>
      </c>
      <c r="W45" s="390">
        <f>+V45/I45*100</f>
        <v>57.1622647540656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32.28125" style="6" customWidth="1"/>
    <col min="2" max="2" width="10.57421875" style="6" customWidth="1"/>
    <col min="3" max="3" width="14.00390625" style="6" customWidth="1"/>
    <col min="4" max="8" width="0" style="6" hidden="1" customWidth="1"/>
    <col min="9" max="9" width="10.28125" style="6" customWidth="1"/>
    <col min="10" max="21" width="0" style="6" hidden="1" customWidth="1"/>
    <col min="22" max="23" width="10.28125" style="6" customWidth="1"/>
    <col min="24" max="16384" width="9.140625" style="6" customWidth="1"/>
  </cols>
  <sheetData>
    <row r="1" spans="1:9" ht="25.5">
      <c r="A1" s="278" t="s">
        <v>459</v>
      </c>
      <c r="B1" s="279"/>
      <c r="C1" s="280"/>
      <c r="D1" s="280"/>
      <c r="E1" s="280"/>
      <c r="F1" s="280"/>
      <c r="G1" s="280"/>
      <c r="H1" s="280"/>
      <c r="I1" s="283"/>
    </row>
    <row r="2" spans="1:9" ht="18">
      <c r="A2" s="284" t="s">
        <v>460</v>
      </c>
      <c r="B2" s="285"/>
      <c r="I2" s="286"/>
    </row>
    <row r="3" spans="1:9" ht="12.75">
      <c r="A3" s="286"/>
      <c r="B3" s="286"/>
      <c r="I3" s="286"/>
    </row>
    <row r="4" spans="9:15" ht="13.5" thickBot="1">
      <c r="I4" s="286"/>
      <c r="M4" s="287"/>
      <c r="N4" s="287"/>
      <c r="O4" s="287"/>
    </row>
    <row r="5" spans="1:15" ht="16.5" thickBot="1">
      <c r="A5" s="288" t="s">
        <v>461</v>
      </c>
      <c r="B5" s="289" t="s">
        <v>560</v>
      </c>
      <c r="C5" s="291"/>
      <c r="D5" s="290"/>
      <c r="E5" s="290"/>
      <c r="F5" s="291"/>
      <c r="H5" s="292"/>
      <c r="I5" s="293"/>
      <c r="M5" s="287"/>
      <c r="N5" s="287"/>
      <c r="O5" s="287"/>
    </row>
    <row r="6" spans="1:9" ht="13.5" thickBot="1">
      <c r="A6" s="283" t="s">
        <v>463</v>
      </c>
      <c r="B6" s="283"/>
      <c r="I6" s="286"/>
    </row>
    <row r="7" spans="1:23" ht="15.75">
      <c r="A7" s="294"/>
      <c r="B7" s="295"/>
      <c r="C7" s="296"/>
      <c r="D7" s="297"/>
      <c r="E7" s="297"/>
      <c r="F7" s="297"/>
      <c r="G7" s="297"/>
      <c r="H7" s="297"/>
      <c r="I7" s="298" t="s">
        <v>6</v>
      </c>
      <c r="J7" s="299"/>
      <c r="K7" s="300"/>
      <c r="L7" s="300"/>
      <c r="M7" s="300"/>
      <c r="N7" s="300"/>
      <c r="O7" s="301"/>
      <c r="P7" s="300"/>
      <c r="Q7" s="300"/>
      <c r="R7" s="300"/>
      <c r="S7" s="300"/>
      <c r="T7" s="300"/>
      <c r="U7" s="300"/>
      <c r="V7" s="302" t="s">
        <v>464</v>
      </c>
      <c r="W7" s="298" t="s">
        <v>465</v>
      </c>
    </row>
    <row r="8" spans="1:23" ht="13.5" thickBot="1">
      <c r="A8" s="303" t="s">
        <v>210</v>
      </c>
      <c r="B8" s="304"/>
      <c r="C8" s="305"/>
      <c r="D8" s="306" t="s">
        <v>466</v>
      </c>
      <c r="E8" s="306" t="s">
        <v>467</v>
      </c>
      <c r="F8" s="306"/>
      <c r="G8" s="306"/>
      <c r="H8" s="306"/>
      <c r="I8" s="307">
        <v>2010</v>
      </c>
      <c r="J8" s="308" t="s">
        <v>468</v>
      </c>
      <c r="K8" s="309" t="s">
        <v>469</v>
      </c>
      <c r="L8" s="309" t="s">
        <v>470</v>
      </c>
      <c r="M8" s="309" t="s">
        <v>471</v>
      </c>
      <c r="N8" s="309" t="s">
        <v>472</v>
      </c>
      <c r="O8" s="309" t="s">
        <v>473</v>
      </c>
      <c r="P8" s="309" t="s">
        <v>474</v>
      </c>
      <c r="Q8" s="309" t="s">
        <v>475</v>
      </c>
      <c r="R8" s="309" t="s">
        <v>476</v>
      </c>
      <c r="S8" s="309" t="s">
        <v>477</v>
      </c>
      <c r="T8" s="309" t="s">
        <v>478</v>
      </c>
      <c r="U8" s="308" t="s">
        <v>479</v>
      </c>
      <c r="V8" s="310" t="s">
        <v>480</v>
      </c>
      <c r="W8" s="307" t="s">
        <v>481</v>
      </c>
    </row>
    <row r="9" spans="1:23" ht="16.5">
      <c r="A9" s="311" t="s">
        <v>482</v>
      </c>
      <c r="B9" s="312"/>
      <c r="C9" s="313"/>
      <c r="D9" s="314">
        <v>22</v>
      </c>
      <c r="E9" s="314">
        <v>23</v>
      </c>
      <c r="F9" s="268"/>
      <c r="G9" s="268"/>
      <c r="H9" s="268"/>
      <c r="I9" s="315">
        <v>9</v>
      </c>
      <c r="J9" s="316">
        <v>21</v>
      </c>
      <c r="K9" s="317">
        <v>21</v>
      </c>
      <c r="L9" s="317">
        <v>21</v>
      </c>
      <c r="M9" s="317">
        <v>21</v>
      </c>
      <c r="N9" s="271">
        <v>21</v>
      </c>
      <c r="O9" s="271">
        <v>21</v>
      </c>
      <c r="P9" s="269"/>
      <c r="Q9" s="269"/>
      <c r="R9" s="269"/>
      <c r="S9" s="269"/>
      <c r="T9" s="269"/>
      <c r="U9" s="269"/>
      <c r="V9" s="407">
        <v>20</v>
      </c>
      <c r="W9" s="318" t="s">
        <v>483</v>
      </c>
    </row>
    <row r="10" spans="1:23" ht="17.25" thickBot="1">
      <c r="A10" s="319" t="s">
        <v>484</v>
      </c>
      <c r="B10" s="320"/>
      <c r="C10" s="321"/>
      <c r="D10" s="322">
        <v>20.91</v>
      </c>
      <c r="E10" s="322">
        <v>21.91</v>
      </c>
      <c r="F10" s="323"/>
      <c r="G10" s="323"/>
      <c r="H10" s="323"/>
      <c r="I10" s="405">
        <v>16.8</v>
      </c>
      <c r="J10" s="325">
        <v>20.4</v>
      </c>
      <c r="K10" s="326">
        <v>20.4</v>
      </c>
      <c r="L10" s="327">
        <v>20.4</v>
      </c>
      <c r="M10" s="327">
        <v>20.4</v>
      </c>
      <c r="N10" s="326">
        <v>20.4</v>
      </c>
      <c r="O10" s="326">
        <v>20.4</v>
      </c>
      <c r="P10" s="328"/>
      <c r="Q10" s="328"/>
      <c r="R10" s="328"/>
      <c r="S10" s="328"/>
      <c r="T10" s="328"/>
      <c r="U10" s="329"/>
      <c r="V10" s="330">
        <v>22</v>
      </c>
      <c r="W10" s="331" t="s">
        <v>483</v>
      </c>
    </row>
    <row r="11" spans="1:23" ht="16.5">
      <c r="A11" s="332" t="s">
        <v>485</v>
      </c>
      <c r="B11" s="312"/>
      <c r="C11" s="333" t="s">
        <v>486</v>
      </c>
      <c r="D11" s="334">
        <v>4630</v>
      </c>
      <c r="E11" s="334">
        <v>5103</v>
      </c>
      <c r="F11" s="273"/>
      <c r="G11" s="273"/>
      <c r="H11" s="272"/>
      <c r="I11" s="335" t="s">
        <v>483</v>
      </c>
      <c r="J11" s="336">
        <f>1612.2+5929.9+2.5</f>
        <v>7544.599999999999</v>
      </c>
      <c r="K11" s="337">
        <f>1612.2+5929.9+2.5</f>
        <v>7544.599999999999</v>
      </c>
      <c r="L11" s="337">
        <f>1612.2+5929.9+2.5</f>
        <v>7544.599999999999</v>
      </c>
      <c r="M11" s="338">
        <v>7676</v>
      </c>
      <c r="N11" s="339">
        <v>7676</v>
      </c>
      <c r="O11" s="339">
        <v>7679</v>
      </c>
      <c r="P11" s="339"/>
      <c r="Q11" s="339"/>
      <c r="R11" s="339"/>
      <c r="S11" s="339"/>
      <c r="T11" s="339"/>
      <c r="U11" s="336"/>
      <c r="V11" s="406">
        <v>4785</v>
      </c>
      <c r="W11" s="335" t="s">
        <v>483</v>
      </c>
    </row>
    <row r="12" spans="1:23" ht="16.5">
      <c r="A12" s="332" t="s">
        <v>487</v>
      </c>
      <c r="B12" s="340"/>
      <c r="C12" s="333" t="s">
        <v>488</v>
      </c>
      <c r="D12" s="341">
        <v>3811</v>
      </c>
      <c r="E12" s="341">
        <v>4577</v>
      </c>
      <c r="F12" s="273"/>
      <c r="G12" s="273"/>
      <c r="H12" s="273"/>
      <c r="I12" s="335" t="s">
        <v>483</v>
      </c>
      <c r="J12" s="342">
        <f>1276.1+5929.9</f>
        <v>7206</v>
      </c>
      <c r="K12" s="343">
        <f>1282.4+5929.9</f>
        <v>7212.299999999999</v>
      </c>
      <c r="L12" s="343">
        <f>1288.7+5929.9</f>
        <v>7218.599999999999</v>
      </c>
      <c r="M12" s="344">
        <v>7225</v>
      </c>
      <c r="N12" s="339">
        <v>7233</v>
      </c>
      <c r="O12" s="339">
        <v>7244</v>
      </c>
      <c r="P12" s="339"/>
      <c r="Q12" s="339"/>
      <c r="R12" s="339"/>
      <c r="S12" s="339"/>
      <c r="T12" s="339"/>
      <c r="U12" s="336"/>
      <c r="V12" s="406">
        <v>4323</v>
      </c>
      <c r="W12" s="335" t="s">
        <v>483</v>
      </c>
    </row>
    <row r="13" spans="1:23" ht="16.5">
      <c r="A13" s="332" t="s">
        <v>489</v>
      </c>
      <c r="B13" s="312"/>
      <c r="C13" s="333" t="s">
        <v>490</v>
      </c>
      <c r="D13" s="341">
        <v>0</v>
      </c>
      <c r="E13" s="341">
        <v>0</v>
      </c>
      <c r="F13" s="273"/>
      <c r="G13" s="273"/>
      <c r="H13" s="273"/>
      <c r="I13" s="335" t="s">
        <v>483</v>
      </c>
      <c r="J13" s="342">
        <v>12</v>
      </c>
      <c r="K13" s="343">
        <v>11.5</v>
      </c>
      <c r="L13" s="344">
        <v>11.5</v>
      </c>
      <c r="M13" s="344">
        <v>12</v>
      </c>
      <c r="N13" s="339">
        <v>12</v>
      </c>
      <c r="O13" s="339">
        <v>12</v>
      </c>
      <c r="P13" s="339"/>
      <c r="Q13" s="339"/>
      <c r="R13" s="339"/>
      <c r="S13" s="339"/>
      <c r="T13" s="339"/>
      <c r="U13" s="336"/>
      <c r="V13" s="406">
        <v>13</v>
      </c>
      <c r="W13" s="335" t="s">
        <v>483</v>
      </c>
    </row>
    <row r="14" spans="1:23" ht="16.5">
      <c r="A14" s="332" t="s">
        <v>491</v>
      </c>
      <c r="B14" s="340"/>
      <c r="C14" s="333" t="s">
        <v>492</v>
      </c>
      <c r="D14" s="341">
        <v>0</v>
      </c>
      <c r="E14" s="341">
        <v>0</v>
      </c>
      <c r="F14" s="273"/>
      <c r="G14" s="273"/>
      <c r="H14" s="273"/>
      <c r="I14" s="335" t="s">
        <v>483</v>
      </c>
      <c r="J14" s="342">
        <v>656.5</v>
      </c>
      <c r="K14" s="343">
        <v>494.4</v>
      </c>
      <c r="L14" s="344">
        <v>342</v>
      </c>
      <c r="M14" s="344">
        <v>152</v>
      </c>
      <c r="N14" s="339">
        <v>204</v>
      </c>
      <c r="O14" s="339">
        <v>271</v>
      </c>
      <c r="P14" s="339"/>
      <c r="Q14" s="339"/>
      <c r="R14" s="339"/>
      <c r="S14" s="339"/>
      <c r="T14" s="339"/>
      <c r="U14" s="336"/>
      <c r="V14" s="406">
        <v>36371</v>
      </c>
      <c r="W14" s="335" t="s">
        <v>483</v>
      </c>
    </row>
    <row r="15" spans="1:23" ht="17.25" thickBot="1">
      <c r="A15" s="311" t="s">
        <v>493</v>
      </c>
      <c r="B15" s="312"/>
      <c r="C15" s="345" t="s">
        <v>494</v>
      </c>
      <c r="D15" s="346">
        <v>869</v>
      </c>
      <c r="E15" s="346">
        <v>1024</v>
      </c>
      <c r="F15" s="270"/>
      <c r="G15" s="270"/>
      <c r="H15" s="270"/>
      <c r="I15" s="318" t="s">
        <v>483</v>
      </c>
      <c r="J15" s="347">
        <v>1515.4</v>
      </c>
      <c r="K15" s="271">
        <v>1551.5</v>
      </c>
      <c r="L15" s="317">
        <v>1762</v>
      </c>
      <c r="M15" s="317">
        <v>1845</v>
      </c>
      <c r="N15" s="271">
        <v>2829</v>
      </c>
      <c r="O15" s="271">
        <v>2209</v>
      </c>
      <c r="P15" s="271"/>
      <c r="Q15" s="271"/>
      <c r="R15" s="271"/>
      <c r="S15" s="271"/>
      <c r="T15" s="271"/>
      <c r="U15" s="271"/>
      <c r="V15" s="407">
        <v>8809</v>
      </c>
      <c r="W15" s="318" t="s">
        <v>483</v>
      </c>
    </row>
    <row r="16" spans="1:23" ht="17.25" thickBot="1">
      <c r="A16" s="348" t="s">
        <v>495</v>
      </c>
      <c r="B16" s="349"/>
      <c r="C16" s="350"/>
      <c r="D16" s="351">
        <v>1838</v>
      </c>
      <c r="E16" s="351">
        <v>1811</v>
      </c>
      <c r="F16" s="352"/>
      <c r="G16" s="352"/>
      <c r="H16" s="352"/>
      <c r="I16" s="353" t="s">
        <v>483</v>
      </c>
      <c r="J16" s="354">
        <v>2321</v>
      </c>
      <c r="K16" s="355">
        <v>2098</v>
      </c>
      <c r="L16" s="356">
        <v>1983</v>
      </c>
      <c r="M16" s="356">
        <v>2033</v>
      </c>
      <c r="N16" s="355">
        <v>1868</v>
      </c>
      <c r="O16" s="355">
        <v>2083</v>
      </c>
      <c r="P16" s="355"/>
      <c r="Q16" s="355"/>
      <c r="R16" s="355"/>
      <c r="S16" s="355"/>
      <c r="T16" s="355"/>
      <c r="U16" s="354"/>
      <c r="V16" s="408">
        <v>45655</v>
      </c>
      <c r="W16" s="353" t="s">
        <v>483</v>
      </c>
    </row>
    <row r="17" spans="1:23" ht="16.5">
      <c r="A17" s="311" t="s">
        <v>496</v>
      </c>
      <c r="B17" s="312"/>
      <c r="C17" s="345" t="s">
        <v>497</v>
      </c>
      <c r="D17" s="346">
        <v>833</v>
      </c>
      <c r="E17" s="346">
        <v>540</v>
      </c>
      <c r="F17" s="270"/>
      <c r="G17" s="270"/>
      <c r="H17" s="270"/>
      <c r="I17" s="318" t="s">
        <v>483</v>
      </c>
      <c r="J17" s="347">
        <v>353</v>
      </c>
      <c r="K17" s="271">
        <v>347</v>
      </c>
      <c r="L17" s="317">
        <v>340.7</v>
      </c>
      <c r="M17" s="317">
        <v>336</v>
      </c>
      <c r="N17" s="271">
        <v>458</v>
      </c>
      <c r="O17" s="271">
        <v>450</v>
      </c>
      <c r="P17" s="271"/>
      <c r="Q17" s="271"/>
      <c r="R17" s="271"/>
      <c r="S17" s="271"/>
      <c r="T17" s="271"/>
      <c r="U17" s="271"/>
      <c r="V17" s="407">
        <v>462</v>
      </c>
      <c r="W17" s="318" t="s">
        <v>483</v>
      </c>
    </row>
    <row r="18" spans="1:23" ht="16.5">
      <c r="A18" s="332" t="s">
        <v>498</v>
      </c>
      <c r="B18" s="340"/>
      <c r="C18" s="333" t="s">
        <v>499</v>
      </c>
      <c r="D18" s="334">
        <v>584</v>
      </c>
      <c r="E18" s="334">
        <v>483</v>
      </c>
      <c r="F18" s="273"/>
      <c r="G18" s="273"/>
      <c r="H18" s="273"/>
      <c r="I18" s="335" t="s">
        <v>483</v>
      </c>
      <c r="J18" s="336">
        <f>13.2+29.3+463.8+6.5+243.2</f>
        <v>756</v>
      </c>
      <c r="K18" s="339">
        <f>13.2+31.9+463.7+5.6+249.4</f>
        <v>763.8</v>
      </c>
      <c r="L18" s="338">
        <f>13.2+34.6+463.8+5.6+255.8</f>
        <v>773</v>
      </c>
      <c r="M18" s="338">
        <v>815</v>
      </c>
      <c r="N18" s="339">
        <v>826</v>
      </c>
      <c r="O18" s="339">
        <v>838</v>
      </c>
      <c r="P18" s="339"/>
      <c r="Q18" s="339"/>
      <c r="R18" s="339"/>
      <c r="S18" s="339"/>
      <c r="T18" s="339"/>
      <c r="U18" s="336"/>
      <c r="V18" s="406">
        <v>1709</v>
      </c>
      <c r="W18" s="335" t="s">
        <v>483</v>
      </c>
    </row>
    <row r="19" spans="1:23" ht="16.5">
      <c r="A19" s="332" t="s">
        <v>500</v>
      </c>
      <c r="B19" s="340"/>
      <c r="C19" s="333" t="s">
        <v>501</v>
      </c>
      <c r="D19" s="341">
        <v>0</v>
      </c>
      <c r="E19" s="341">
        <v>0</v>
      </c>
      <c r="F19" s="273"/>
      <c r="G19" s="273"/>
      <c r="H19" s="273"/>
      <c r="I19" s="335" t="s">
        <v>483</v>
      </c>
      <c r="J19" s="342">
        <v>0</v>
      </c>
      <c r="K19" s="343">
        <v>0</v>
      </c>
      <c r="L19" s="344">
        <v>0</v>
      </c>
      <c r="M19" s="344">
        <v>0</v>
      </c>
      <c r="N19" s="339">
        <v>0</v>
      </c>
      <c r="O19" s="339">
        <v>0</v>
      </c>
      <c r="P19" s="339"/>
      <c r="Q19" s="339"/>
      <c r="R19" s="339"/>
      <c r="S19" s="339"/>
      <c r="T19" s="339"/>
      <c r="U19" s="336"/>
      <c r="V19" s="406">
        <v>0</v>
      </c>
      <c r="W19" s="335" t="s">
        <v>483</v>
      </c>
    </row>
    <row r="20" spans="1:23" ht="16.5">
      <c r="A20" s="332" t="s">
        <v>502</v>
      </c>
      <c r="B20" s="312"/>
      <c r="C20" s="333" t="s">
        <v>503</v>
      </c>
      <c r="D20" s="341">
        <v>225</v>
      </c>
      <c r="E20" s="341">
        <v>259</v>
      </c>
      <c r="F20" s="273"/>
      <c r="G20" s="273"/>
      <c r="H20" s="273"/>
      <c r="I20" s="335" t="s">
        <v>483</v>
      </c>
      <c r="J20" s="342">
        <v>1178.5</v>
      </c>
      <c r="K20" s="343">
        <v>953.6</v>
      </c>
      <c r="L20" s="344">
        <v>836</v>
      </c>
      <c r="M20" s="344">
        <v>752</v>
      </c>
      <c r="N20" s="339">
        <v>584</v>
      </c>
      <c r="O20" s="339">
        <v>796</v>
      </c>
      <c r="P20" s="339"/>
      <c r="Q20" s="339"/>
      <c r="R20" s="339"/>
      <c r="S20" s="339"/>
      <c r="T20" s="339"/>
      <c r="U20" s="336"/>
      <c r="V20" s="406">
        <v>41437</v>
      </c>
      <c r="W20" s="335" t="s">
        <v>483</v>
      </c>
    </row>
    <row r="21" spans="1:23" ht="17.25" thickBot="1">
      <c r="A21" s="332" t="s">
        <v>504</v>
      </c>
      <c r="B21" s="320"/>
      <c r="C21" s="333" t="s">
        <v>505</v>
      </c>
      <c r="D21" s="341">
        <v>0</v>
      </c>
      <c r="E21" s="341">
        <v>0</v>
      </c>
      <c r="F21" s="357"/>
      <c r="G21" s="357"/>
      <c r="H21" s="357"/>
      <c r="I21" s="335" t="s">
        <v>483</v>
      </c>
      <c r="J21" s="342">
        <v>0</v>
      </c>
      <c r="K21" s="343">
        <v>0</v>
      </c>
      <c r="L21" s="344">
        <v>0</v>
      </c>
      <c r="M21" s="344">
        <v>0</v>
      </c>
      <c r="N21" s="339">
        <v>0</v>
      </c>
      <c r="O21" s="339">
        <v>0</v>
      </c>
      <c r="P21" s="339"/>
      <c r="Q21" s="339"/>
      <c r="R21" s="339"/>
      <c r="S21" s="339"/>
      <c r="T21" s="339"/>
      <c r="U21" s="336"/>
      <c r="V21" s="406">
        <v>0</v>
      </c>
      <c r="W21" s="335" t="s">
        <v>483</v>
      </c>
    </row>
    <row r="22" spans="1:23" ht="16.5">
      <c r="A22" s="358" t="s">
        <v>506</v>
      </c>
      <c r="B22" s="312"/>
      <c r="C22" s="359"/>
      <c r="D22" s="360">
        <v>6805</v>
      </c>
      <c r="E22" s="360">
        <v>6979</v>
      </c>
      <c r="F22" s="272"/>
      <c r="G22" s="272"/>
      <c r="H22" s="272"/>
      <c r="I22" s="361">
        <v>16180</v>
      </c>
      <c r="J22" s="362">
        <v>714</v>
      </c>
      <c r="K22" s="337">
        <v>584</v>
      </c>
      <c r="L22" s="337">
        <v>874</v>
      </c>
      <c r="M22" s="337">
        <v>698</v>
      </c>
      <c r="N22" s="337">
        <v>1790</v>
      </c>
      <c r="O22" s="337">
        <v>16</v>
      </c>
      <c r="P22" s="337"/>
      <c r="Q22" s="337"/>
      <c r="R22" s="337"/>
      <c r="S22" s="337"/>
      <c r="T22" s="337"/>
      <c r="U22" s="362"/>
      <c r="V22" s="363">
        <v>8700</v>
      </c>
      <c r="W22" s="364">
        <f>+V22/I22*100</f>
        <v>53.77008652657602</v>
      </c>
    </row>
    <row r="23" spans="1:23" ht="16.5">
      <c r="A23" s="332" t="s">
        <v>507</v>
      </c>
      <c r="B23" s="340"/>
      <c r="C23" s="365"/>
      <c r="D23" s="334"/>
      <c r="E23" s="334"/>
      <c r="F23" s="273"/>
      <c r="G23" s="273"/>
      <c r="H23" s="273"/>
      <c r="I23" s="366">
        <v>0</v>
      </c>
      <c r="J23" s="336">
        <v>0</v>
      </c>
      <c r="K23" s="339">
        <v>0</v>
      </c>
      <c r="L23" s="339">
        <v>0</v>
      </c>
      <c r="M23" s="339">
        <v>130</v>
      </c>
      <c r="N23" s="339">
        <v>0</v>
      </c>
      <c r="O23" s="339">
        <v>0</v>
      </c>
      <c r="P23" s="339"/>
      <c r="Q23" s="339"/>
      <c r="R23" s="339"/>
      <c r="S23" s="339"/>
      <c r="T23" s="339"/>
      <c r="U23" s="336"/>
      <c r="V23" s="367">
        <v>0</v>
      </c>
      <c r="W23" s="368" t="e">
        <f>+V23/I23*100</f>
        <v>#DIV/0!</v>
      </c>
    </row>
    <row r="24" spans="1:23" ht="17.25" thickBot="1">
      <c r="A24" s="369" t="s">
        <v>508</v>
      </c>
      <c r="B24" s="312"/>
      <c r="C24" s="370"/>
      <c r="D24" s="371">
        <v>6505</v>
      </c>
      <c r="E24" s="371">
        <v>6369</v>
      </c>
      <c r="F24" s="274"/>
      <c r="G24" s="274"/>
      <c r="H24" s="274"/>
      <c r="I24" s="372">
        <v>16180</v>
      </c>
      <c r="J24" s="373">
        <v>714</v>
      </c>
      <c r="K24" s="374">
        <v>584</v>
      </c>
      <c r="L24" s="374">
        <v>584</v>
      </c>
      <c r="M24" s="374">
        <v>568</v>
      </c>
      <c r="N24" s="374">
        <v>1140</v>
      </c>
      <c r="O24" s="374">
        <v>16</v>
      </c>
      <c r="P24" s="374"/>
      <c r="Q24" s="374"/>
      <c r="R24" s="374"/>
      <c r="S24" s="374"/>
      <c r="T24" s="374"/>
      <c r="U24" s="373"/>
      <c r="V24" s="375">
        <v>8700</v>
      </c>
      <c r="W24" s="376">
        <f>+V24/I24*100</f>
        <v>53.77008652657602</v>
      </c>
    </row>
    <row r="25" spans="1:23" ht="16.5">
      <c r="A25" s="332" t="s">
        <v>509</v>
      </c>
      <c r="B25" s="377" t="s">
        <v>510</v>
      </c>
      <c r="C25" s="333" t="s">
        <v>511</v>
      </c>
      <c r="D25" s="334">
        <v>2275</v>
      </c>
      <c r="E25" s="334">
        <v>2131</v>
      </c>
      <c r="F25" s="273"/>
      <c r="G25" s="273"/>
      <c r="H25" s="273"/>
      <c r="I25" s="378">
        <v>530</v>
      </c>
      <c r="J25" s="336">
        <v>12.3</v>
      </c>
      <c r="K25" s="339">
        <v>42.2</v>
      </c>
      <c r="L25" s="339">
        <v>58</v>
      </c>
      <c r="M25" s="339">
        <v>53</v>
      </c>
      <c r="N25" s="339">
        <v>66</v>
      </c>
      <c r="O25" s="339">
        <v>82</v>
      </c>
      <c r="P25" s="339"/>
      <c r="Q25" s="339"/>
      <c r="R25" s="339"/>
      <c r="S25" s="339"/>
      <c r="T25" s="339"/>
      <c r="U25" s="336"/>
      <c r="V25" s="367">
        <v>283</v>
      </c>
      <c r="W25" s="368">
        <f aca="true" t="shared" si="0" ref="W25:W34">+V25/I25*100</f>
        <v>53.39622641509434</v>
      </c>
    </row>
    <row r="26" spans="1:23" ht="16.5">
      <c r="A26" s="332" t="s">
        <v>512</v>
      </c>
      <c r="B26" s="379" t="s">
        <v>513</v>
      </c>
      <c r="C26" s="333" t="s">
        <v>514</v>
      </c>
      <c r="D26" s="341">
        <v>269</v>
      </c>
      <c r="E26" s="341">
        <v>415</v>
      </c>
      <c r="F26" s="275"/>
      <c r="G26" s="275"/>
      <c r="H26" s="275"/>
      <c r="I26" s="366">
        <v>3000</v>
      </c>
      <c r="J26" s="336">
        <v>7.2</v>
      </c>
      <c r="K26" s="339">
        <v>9.9</v>
      </c>
      <c r="L26" s="339">
        <v>173</v>
      </c>
      <c r="M26" s="339">
        <v>19</v>
      </c>
      <c r="N26" s="339">
        <v>7</v>
      </c>
      <c r="O26" s="339">
        <v>170</v>
      </c>
      <c r="P26" s="339"/>
      <c r="Q26" s="339"/>
      <c r="R26" s="339"/>
      <c r="S26" s="339"/>
      <c r="T26" s="339"/>
      <c r="U26" s="336"/>
      <c r="V26" s="367">
        <v>-461</v>
      </c>
      <c r="W26" s="368">
        <f t="shared" si="0"/>
        <v>-15.366666666666667</v>
      </c>
    </row>
    <row r="27" spans="1:23" ht="16.5">
      <c r="A27" s="332" t="s">
        <v>515</v>
      </c>
      <c r="B27" s="380" t="s">
        <v>516</v>
      </c>
      <c r="C27" s="333" t="s">
        <v>517</v>
      </c>
      <c r="D27" s="341">
        <v>0</v>
      </c>
      <c r="E27" s="341">
        <v>1</v>
      </c>
      <c r="F27" s="275"/>
      <c r="G27" s="275"/>
      <c r="H27" s="275"/>
      <c r="I27" s="366">
        <v>0</v>
      </c>
      <c r="J27" s="336">
        <v>0</v>
      </c>
      <c r="K27" s="339">
        <v>0</v>
      </c>
      <c r="L27" s="339">
        <v>0.3</v>
      </c>
      <c r="M27" s="339">
        <v>0</v>
      </c>
      <c r="N27" s="339">
        <v>0</v>
      </c>
      <c r="O27" s="339">
        <v>0</v>
      </c>
      <c r="P27" s="339"/>
      <c r="Q27" s="339"/>
      <c r="R27" s="339"/>
      <c r="S27" s="339"/>
      <c r="T27" s="339"/>
      <c r="U27" s="336"/>
      <c r="V27" s="367">
        <v>0</v>
      </c>
      <c r="W27" s="368" t="e">
        <f t="shared" si="0"/>
        <v>#DIV/0!</v>
      </c>
    </row>
    <row r="28" spans="1:23" ht="16.5">
      <c r="A28" s="332" t="s">
        <v>518</v>
      </c>
      <c r="B28" s="380" t="s">
        <v>519</v>
      </c>
      <c r="C28" s="333" t="s">
        <v>520</v>
      </c>
      <c r="D28" s="341">
        <v>582</v>
      </c>
      <c r="E28" s="341">
        <v>430</v>
      </c>
      <c r="F28" s="275"/>
      <c r="G28" s="275"/>
      <c r="H28" s="275"/>
      <c r="I28" s="366">
        <v>3200</v>
      </c>
      <c r="J28" s="336">
        <v>0</v>
      </c>
      <c r="K28" s="339">
        <v>0.4</v>
      </c>
      <c r="L28" s="339">
        <v>1</v>
      </c>
      <c r="M28" s="339">
        <v>1</v>
      </c>
      <c r="N28" s="339">
        <v>10</v>
      </c>
      <c r="O28" s="339">
        <v>1</v>
      </c>
      <c r="P28" s="339"/>
      <c r="Q28" s="339"/>
      <c r="R28" s="339"/>
      <c r="S28" s="339"/>
      <c r="T28" s="339"/>
      <c r="U28" s="336"/>
      <c r="V28" s="367">
        <v>2178</v>
      </c>
      <c r="W28" s="368">
        <f t="shared" si="0"/>
        <v>68.0625</v>
      </c>
    </row>
    <row r="29" spans="1:23" ht="16.5">
      <c r="A29" s="332" t="s">
        <v>521</v>
      </c>
      <c r="B29" s="379" t="s">
        <v>522</v>
      </c>
      <c r="C29" s="333" t="s">
        <v>523</v>
      </c>
      <c r="D29" s="341">
        <v>566</v>
      </c>
      <c r="E29" s="341">
        <v>656</v>
      </c>
      <c r="F29" s="275"/>
      <c r="G29" s="275"/>
      <c r="H29" s="275"/>
      <c r="I29" s="366">
        <v>894</v>
      </c>
      <c r="J29" s="336">
        <v>27.3</v>
      </c>
      <c r="K29" s="339">
        <v>20.4</v>
      </c>
      <c r="L29" s="339">
        <v>51.8</v>
      </c>
      <c r="M29" s="339">
        <v>33</v>
      </c>
      <c r="N29" s="339">
        <v>62</v>
      </c>
      <c r="O29" s="339">
        <v>38</v>
      </c>
      <c r="P29" s="339"/>
      <c r="Q29" s="339"/>
      <c r="R29" s="339"/>
      <c r="S29" s="339"/>
      <c r="T29" s="339"/>
      <c r="U29" s="336"/>
      <c r="V29" s="367">
        <v>422</v>
      </c>
      <c r="W29" s="368">
        <f t="shared" si="0"/>
        <v>47.20357941834452</v>
      </c>
    </row>
    <row r="30" spans="1:23" ht="16.5">
      <c r="A30" s="332" t="s">
        <v>524</v>
      </c>
      <c r="B30" s="380" t="s">
        <v>525</v>
      </c>
      <c r="C30" s="333" t="s">
        <v>526</v>
      </c>
      <c r="D30" s="341">
        <v>2457</v>
      </c>
      <c r="E30" s="341">
        <v>2785</v>
      </c>
      <c r="F30" s="275"/>
      <c r="G30" s="275"/>
      <c r="H30" s="275"/>
      <c r="I30" s="366">
        <v>6000</v>
      </c>
      <c r="J30" s="336">
        <v>389</v>
      </c>
      <c r="K30" s="339">
        <v>381</v>
      </c>
      <c r="L30" s="339">
        <v>354</v>
      </c>
      <c r="M30" s="339">
        <v>401</v>
      </c>
      <c r="N30" s="339">
        <v>350</v>
      </c>
      <c r="O30" s="339">
        <v>380</v>
      </c>
      <c r="P30" s="339"/>
      <c r="Q30" s="339"/>
      <c r="R30" s="339"/>
      <c r="S30" s="339"/>
      <c r="T30" s="339"/>
      <c r="U30" s="336"/>
      <c r="V30" s="367">
        <v>3017</v>
      </c>
      <c r="W30" s="368">
        <f>+V30/I30*100</f>
        <v>50.28333333333334</v>
      </c>
    </row>
    <row r="31" spans="1:23" ht="16.5">
      <c r="A31" s="332" t="s">
        <v>527</v>
      </c>
      <c r="B31" s="380" t="s">
        <v>528</v>
      </c>
      <c r="C31" s="333" t="s">
        <v>529</v>
      </c>
      <c r="D31" s="341">
        <v>943</v>
      </c>
      <c r="E31" s="341">
        <v>1044</v>
      </c>
      <c r="F31" s="275"/>
      <c r="G31" s="275"/>
      <c r="H31" s="275"/>
      <c r="I31" s="366">
        <v>2400</v>
      </c>
      <c r="J31" s="336">
        <f>129.9+15.4+1.6</f>
        <v>146.9</v>
      </c>
      <c r="K31" s="339">
        <f>128+15.3+0.7</f>
        <v>144</v>
      </c>
      <c r="L31" s="339">
        <f>117.8+15.4+1.9</f>
        <v>135.1</v>
      </c>
      <c r="M31" s="339">
        <v>151</v>
      </c>
      <c r="N31" s="339">
        <v>133</v>
      </c>
      <c r="O31" s="339">
        <v>147</v>
      </c>
      <c r="P31" s="339"/>
      <c r="Q31" s="339"/>
      <c r="R31" s="339"/>
      <c r="S31" s="339"/>
      <c r="T31" s="339"/>
      <c r="U31" s="336"/>
      <c r="V31" s="367">
        <v>1042</v>
      </c>
      <c r="W31" s="368">
        <f>+V31/I31*100</f>
        <v>43.416666666666664</v>
      </c>
    </row>
    <row r="32" spans="1:23" ht="16.5">
      <c r="A32" s="332" t="s">
        <v>530</v>
      </c>
      <c r="B32" s="379" t="s">
        <v>531</v>
      </c>
      <c r="C32" s="333" t="s">
        <v>532</v>
      </c>
      <c r="D32" s="341">
        <v>0</v>
      </c>
      <c r="E32" s="341">
        <v>0</v>
      </c>
      <c r="F32" s="275"/>
      <c r="G32" s="275"/>
      <c r="H32" s="275"/>
      <c r="I32" s="366">
        <v>0</v>
      </c>
      <c r="J32" s="336">
        <v>0</v>
      </c>
      <c r="K32" s="339">
        <v>0</v>
      </c>
      <c r="L32" s="339">
        <v>0</v>
      </c>
      <c r="M32" s="339">
        <v>0</v>
      </c>
      <c r="N32" s="339">
        <v>0</v>
      </c>
      <c r="O32" s="339">
        <v>0</v>
      </c>
      <c r="P32" s="339"/>
      <c r="Q32" s="339"/>
      <c r="R32" s="339"/>
      <c r="S32" s="339"/>
      <c r="T32" s="339"/>
      <c r="U32" s="336"/>
      <c r="V32" s="367">
        <v>0</v>
      </c>
      <c r="W32" s="368" t="e">
        <f t="shared" si="0"/>
        <v>#DIV/0!</v>
      </c>
    </row>
    <row r="33" spans="1:23" ht="16.5">
      <c r="A33" s="332" t="s">
        <v>533</v>
      </c>
      <c r="B33" s="380" t="s">
        <v>534</v>
      </c>
      <c r="C33" s="333" t="s">
        <v>535</v>
      </c>
      <c r="D33" s="341">
        <v>318</v>
      </c>
      <c r="E33" s="341">
        <v>252</v>
      </c>
      <c r="F33" s="275"/>
      <c r="G33" s="275"/>
      <c r="H33" s="275"/>
      <c r="I33" s="366">
        <v>325</v>
      </c>
      <c r="J33" s="336">
        <v>6.2</v>
      </c>
      <c r="K33" s="339">
        <v>6</v>
      </c>
      <c r="L33" s="339">
        <v>6</v>
      </c>
      <c r="M33" s="339">
        <v>6</v>
      </c>
      <c r="N33" s="339">
        <v>8</v>
      </c>
      <c r="O33" s="339">
        <v>8</v>
      </c>
      <c r="P33" s="339"/>
      <c r="Q33" s="339"/>
      <c r="R33" s="339"/>
      <c r="S33" s="339"/>
      <c r="T33" s="339"/>
      <c r="U33" s="336"/>
      <c r="V33" s="367">
        <v>162</v>
      </c>
      <c r="W33" s="368">
        <f t="shared" si="0"/>
        <v>49.84615384615385</v>
      </c>
    </row>
    <row r="34" spans="1:23" ht="17.25" thickBot="1">
      <c r="A34" s="311" t="s">
        <v>536</v>
      </c>
      <c r="B34" s="381"/>
      <c r="C34" s="345"/>
      <c r="D34" s="346">
        <v>98</v>
      </c>
      <c r="E34" s="346">
        <v>128</v>
      </c>
      <c r="F34" s="270"/>
      <c r="G34" s="270"/>
      <c r="H34" s="270"/>
      <c r="I34" s="382">
        <v>219</v>
      </c>
      <c r="J34" s="276">
        <f>0.2+1.2</f>
        <v>1.4</v>
      </c>
      <c r="K34" s="271">
        <f>0.1+0.9</f>
        <v>1</v>
      </c>
      <c r="L34" s="271">
        <f>0.4+3.7+1+3</f>
        <v>8.100000000000001</v>
      </c>
      <c r="M34" s="271">
        <v>4</v>
      </c>
      <c r="N34" s="271">
        <v>9</v>
      </c>
      <c r="O34" s="271">
        <v>9</v>
      </c>
      <c r="P34" s="271"/>
      <c r="Q34" s="271"/>
      <c r="R34" s="271"/>
      <c r="S34" s="271"/>
      <c r="T34" s="271"/>
      <c r="U34" s="271"/>
      <c r="V34" s="383">
        <v>49</v>
      </c>
      <c r="W34" s="384">
        <f t="shared" si="0"/>
        <v>22.37442922374429</v>
      </c>
    </row>
    <row r="35" spans="1:23" ht="17.25" thickBot="1">
      <c r="A35" s="385" t="s">
        <v>537</v>
      </c>
      <c r="B35" s="379"/>
      <c r="C35" s="386" t="s">
        <v>538</v>
      </c>
      <c r="D35" s="387">
        <v>7508</v>
      </c>
      <c r="E35" s="387">
        <f>SUM(E25:E34)</f>
        <v>7842</v>
      </c>
      <c r="F35" s="352"/>
      <c r="G35" s="352"/>
      <c r="H35" s="352"/>
      <c r="I35" s="388">
        <f aca="true" t="shared" si="1" ref="I35:V35">SUM(I25:I34)</f>
        <v>16568</v>
      </c>
      <c r="J35" s="388">
        <f t="shared" si="1"/>
        <v>590.3000000000001</v>
      </c>
      <c r="K35" s="388">
        <f t="shared" si="1"/>
        <v>604.9</v>
      </c>
      <c r="L35" s="388">
        <f t="shared" si="1"/>
        <v>787.3000000000001</v>
      </c>
      <c r="M35" s="388">
        <f t="shared" si="1"/>
        <v>668</v>
      </c>
      <c r="N35" s="388">
        <f t="shared" si="1"/>
        <v>645</v>
      </c>
      <c r="O35" s="388">
        <f t="shared" si="1"/>
        <v>835</v>
      </c>
      <c r="P35" s="388">
        <f t="shared" si="1"/>
        <v>0</v>
      </c>
      <c r="Q35" s="388">
        <f t="shared" si="1"/>
        <v>0</v>
      </c>
      <c r="R35" s="388">
        <f t="shared" si="1"/>
        <v>0</v>
      </c>
      <c r="S35" s="388">
        <f t="shared" si="1"/>
        <v>0</v>
      </c>
      <c r="T35" s="388">
        <f t="shared" si="1"/>
        <v>0</v>
      </c>
      <c r="U35" s="388">
        <f t="shared" si="1"/>
        <v>0</v>
      </c>
      <c r="V35" s="388">
        <f t="shared" si="1"/>
        <v>6692</v>
      </c>
      <c r="W35" s="390">
        <f>+V35/I35*100</f>
        <v>40.391115403186866</v>
      </c>
    </row>
    <row r="36" spans="1:23" ht="16.5">
      <c r="A36" s="332" t="s">
        <v>539</v>
      </c>
      <c r="B36" s="377" t="s">
        <v>540</v>
      </c>
      <c r="C36" s="333" t="s">
        <v>541</v>
      </c>
      <c r="D36" s="334">
        <v>0</v>
      </c>
      <c r="E36" s="334">
        <v>0</v>
      </c>
      <c r="F36" s="273"/>
      <c r="G36" s="273"/>
      <c r="H36" s="273"/>
      <c r="I36" s="378">
        <v>0</v>
      </c>
      <c r="J36" s="336">
        <v>0</v>
      </c>
      <c r="K36" s="339">
        <v>0</v>
      </c>
      <c r="L36" s="339">
        <v>0</v>
      </c>
      <c r="M36" s="339">
        <v>0</v>
      </c>
      <c r="N36" s="339">
        <v>0</v>
      </c>
      <c r="O36" s="339">
        <v>0</v>
      </c>
      <c r="P36" s="339"/>
      <c r="Q36" s="339"/>
      <c r="R36" s="339"/>
      <c r="S36" s="339"/>
      <c r="T36" s="339"/>
      <c r="U36" s="336"/>
      <c r="V36" s="367">
        <v>0</v>
      </c>
      <c r="W36" s="368" t="e">
        <f aca="true" t="shared" si="2" ref="W36:W41">+V36/I36*100</f>
        <v>#DIV/0!</v>
      </c>
    </row>
    <row r="37" spans="1:23" ht="16.5">
      <c r="A37" s="332" t="s">
        <v>542</v>
      </c>
      <c r="B37" s="380" t="s">
        <v>543</v>
      </c>
      <c r="C37" s="333" t="s">
        <v>544</v>
      </c>
      <c r="D37" s="341">
        <v>716</v>
      </c>
      <c r="E37" s="341">
        <v>715</v>
      </c>
      <c r="F37" s="275"/>
      <c r="G37" s="275"/>
      <c r="H37" s="275"/>
      <c r="I37" s="366">
        <v>346</v>
      </c>
      <c r="J37" s="336">
        <v>61</v>
      </c>
      <c r="K37" s="339">
        <v>57.2</v>
      </c>
      <c r="L37" s="339">
        <v>51</v>
      </c>
      <c r="M37" s="339">
        <v>40</v>
      </c>
      <c r="N37" s="339">
        <v>39</v>
      </c>
      <c r="O37" s="339">
        <v>42</v>
      </c>
      <c r="P37" s="339"/>
      <c r="Q37" s="339"/>
      <c r="R37" s="339"/>
      <c r="S37" s="339"/>
      <c r="T37" s="339"/>
      <c r="U37" s="336"/>
      <c r="V37" s="367">
        <v>17</v>
      </c>
      <c r="W37" s="368">
        <f t="shared" si="2"/>
        <v>4.913294797687861</v>
      </c>
    </row>
    <row r="38" spans="1:23" ht="16.5">
      <c r="A38" s="332" t="s">
        <v>545</v>
      </c>
      <c r="B38" s="379" t="s">
        <v>546</v>
      </c>
      <c r="C38" s="333" t="s">
        <v>547</v>
      </c>
      <c r="D38" s="341">
        <v>26</v>
      </c>
      <c r="E38" s="341">
        <v>32</v>
      </c>
      <c r="F38" s="275"/>
      <c r="G38" s="275"/>
      <c r="H38" s="275"/>
      <c r="I38" s="366">
        <v>0</v>
      </c>
      <c r="J38" s="336">
        <v>0</v>
      </c>
      <c r="K38" s="339">
        <v>0</v>
      </c>
      <c r="L38" s="339">
        <v>0</v>
      </c>
      <c r="M38" s="339">
        <v>0</v>
      </c>
      <c r="N38" s="339">
        <v>0</v>
      </c>
      <c r="O38" s="339">
        <v>0</v>
      </c>
      <c r="P38" s="339"/>
      <c r="Q38" s="339"/>
      <c r="R38" s="339"/>
      <c r="S38" s="339"/>
      <c r="T38" s="339"/>
      <c r="U38" s="336"/>
      <c r="V38" s="367">
        <v>0</v>
      </c>
      <c r="W38" s="368" t="e">
        <f t="shared" si="2"/>
        <v>#DIV/0!</v>
      </c>
    </row>
    <row r="39" spans="1:23" ht="16.5">
      <c r="A39" s="332" t="s">
        <v>548</v>
      </c>
      <c r="B39" s="391"/>
      <c r="C39" s="333" t="s">
        <v>549</v>
      </c>
      <c r="D39" s="341">
        <v>6805</v>
      </c>
      <c r="E39" s="341">
        <v>6979</v>
      </c>
      <c r="F39" s="275"/>
      <c r="G39" s="275"/>
      <c r="H39" s="275"/>
      <c r="I39" s="366">
        <v>16180</v>
      </c>
      <c r="J39" s="336">
        <v>714</v>
      </c>
      <c r="K39" s="339">
        <v>584</v>
      </c>
      <c r="L39" s="339">
        <v>874</v>
      </c>
      <c r="M39" s="339">
        <v>568</v>
      </c>
      <c r="N39" s="339">
        <v>1790</v>
      </c>
      <c r="O39" s="339">
        <v>16</v>
      </c>
      <c r="P39" s="339"/>
      <c r="Q39" s="339"/>
      <c r="R39" s="339"/>
      <c r="S39" s="339"/>
      <c r="T39" s="339"/>
      <c r="U39" s="336"/>
      <c r="V39" s="367">
        <v>8700</v>
      </c>
      <c r="W39" s="368">
        <f t="shared" si="2"/>
        <v>53.77008652657602</v>
      </c>
    </row>
    <row r="40" spans="1:23" ht="17.25" thickBot="1">
      <c r="A40" s="311" t="s">
        <v>550</v>
      </c>
      <c r="B40" s="392"/>
      <c r="C40" s="393"/>
      <c r="D40" s="346">
        <v>25</v>
      </c>
      <c r="E40" s="346">
        <v>406</v>
      </c>
      <c r="F40" s="270"/>
      <c r="G40" s="270"/>
      <c r="H40" s="270"/>
      <c r="I40" s="378">
        <v>42</v>
      </c>
      <c r="J40" s="276">
        <f>16.1</f>
        <v>16.1</v>
      </c>
      <c r="K40" s="271">
        <v>54.5</v>
      </c>
      <c r="L40" s="271">
        <v>29</v>
      </c>
      <c r="M40" s="271">
        <v>28</v>
      </c>
      <c r="N40" s="271">
        <v>9</v>
      </c>
      <c r="O40" s="271">
        <v>1</v>
      </c>
      <c r="P40" s="271"/>
      <c r="Q40" s="271"/>
      <c r="R40" s="271"/>
      <c r="S40" s="271"/>
      <c r="T40" s="271"/>
      <c r="U40" s="271"/>
      <c r="V40" s="367">
        <v>22</v>
      </c>
      <c r="W40" s="368">
        <f t="shared" si="2"/>
        <v>52.38095238095239</v>
      </c>
    </row>
    <row r="41" spans="1:23" ht="17.25" thickBot="1">
      <c r="A41" s="385" t="s">
        <v>551</v>
      </c>
      <c r="B41" s="394"/>
      <c r="C41" s="386" t="s">
        <v>552</v>
      </c>
      <c r="D41" s="387">
        <f>SUM(D36:D40)</f>
        <v>7572</v>
      </c>
      <c r="E41" s="387">
        <f>SUM(E36:E40)</f>
        <v>8132</v>
      </c>
      <c r="F41" s="352"/>
      <c r="G41" s="352"/>
      <c r="H41" s="352"/>
      <c r="I41" s="388">
        <f aca="true" t="shared" si="3" ref="I41:V41">SUM(I36:I40)</f>
        <v>16568</v>
      </c>
      <c r="J41" s="388">
        <f t="shared" si="3"/>
        <v>791.1</v>
      </c>
      <c r="K41" s="388">
        <f t="shared" si="3"/>
        <v>695.7</v>
      </c>
      <c r="L41" s="388">
        <f t="shared" si="3"/>
        <v>954</v>
      </c>
      <c r="M41" s="388">
        <f t="shared" si="3"/>
        <v>636</v>
      </c>
      <c r="N41" s="388">
        <f t="shared" si="3"/>
        <v>1838</v>
      </c>
      <c r="O41" s="388">
        <f t="shared" si="3"/>
        <v>59</v>
      </c>
      <c r="P41" s="388">
        <f t="shared" si="3"/>
        <v>0</v>
      </c>
      <c r="Q41" s="388">
        <f t="shared" si="3"/>
        <v>0</v>
      </c>
      <c r="R41" s="388">
        <f t="shared" si="3"/>
        <v>0</v>
      </c>
      <c r="S41" s="388">
        <f t="shared" si="3"/>
        <v>0</v>
      </c>
      <c r="T41" s="388">
        <f t="shared" si="3"/>
        <v>0</v>
      </c>
      <c r="U41" s="388">
        <f t="shared" si="3"/>
        <v>0</v>
      </c>
      <c r="V41" s="388">
        <f t="shared" si="3"/>
        <v>8739</v>
      </c>
      <c r="W41" s="390">
        <f t="shared" si="2"/>
        <v>52.746257846450995</v>
      </c>
    </row>
    <row r="42" spans="1:23" ht="6.75" customHeight="1" thickBot="1">
      <c r="A42" s="311"/>
      <c r="B42" s="349"/>
      <c r="C42" s="393"/>
      <c r="D42" s="346"/>
      <c r="E42" s="346"/>
      <c r="F42" s="277"/>
      <c r="G42" s="277"/>
      <c r="H42" s="277"/>
      <c r="I42" s="395"/>
      <c r="J42" s="347"/>
      <c r="K42" s="271"/>
      <c r="L42" s="317"/>
      <c r="M42" s="317"/>
      <c r="N42" s="271"/>
      <c r="O42" s="271"/>
      <c r="P42" s="271"/>
      <c r="Q42" s="271"/>
      <c r="R42" s="271"/>
      <c r="S42" s="271"/>
      <c r="T42" s="271"/>
      <c r="U42" s="396"/>
      <c r="V42" s="383"/>
      <c r="W42" s="384"/>
    </row>
    <row r="43" spans="1:23" ht="17.25" thickBot="1">
      <c r="A43" s="397" t="s">
        <v>553</v>
      </c>
      <c r="B43" s="398"/>
      <c r="C43" s="399"/>
      <c r="D43" s="387">
        <f>+D41-D39</f>
        <v>767</v>
      </c>
      <c r="E43" s="387">
        <f>+E41-E39</f>
        <v>1153</v>
      </c>
      <c r="F43" s="352"/>
      <c r="G43" s="352"/>
      <c r="H43" s="352"/>
      <c r="I43" s="388">
        <f>I36+I37+I38+I40</f>
        <v>388</v>
      </c>
      <c r="J43" s="388">
        <f aca="true" t="shared" si="4" ref="J43:V43">J36+J37+J38+J40</f>
        <v>77.1</v>
      </c>
      <c r="K43" s="388">
        <f t="shared" si="4"/>
        <v>111.7</v>
      </c>
      <c r="L43" s="388">
        <f t="shared" si="4"/>
        <v>80</v>
      </c>
      <c r="M43" s="388">
        <f t="shared" si="4"/>
        <v>68</v>
      </c>
      <c r="N43" s="388">
        <f t="shared" si="4"/>
        <v>48</v>
      </c>
      <c r="O43" s="388">
        <f t="shared" si="4"/>
        <v>43</v>
      </c>
      <c r="P43" s="388">
        <f t="shared" si="4"/>
        <v>0</v>
      </c>
      <c r="Q43" s="388">
        <f t="shared" si="4"/>
        <v>0</v>
      </c>
      <c r="R43" s="388">
        <f t="shared" si="4"/>
        <v>0</v>
      </c>
      <c r="S43" s="388">
        <f t="shared" si="4"/>
        <v>0</v>
      </c>
      <c r="T43" s="388">
        <f t="shared" si="4"/>
        <v>0</v>
      </c>
      <c r="U43" s="388">
        <f t="shared" si="4"/>
        <v>0</v>
      </c>
      <c r="V43" s="388">
        <f t="shared" si="4"/>
        <v>39</v>
      </c>
      <c r="W43" s="390">
        <f>+V43/I43*100</f>
        <v>10.051546391752577</v>
      </c>
    </row>
    <row r="44" spans="1:23" ht="17.25" thickBot="1">
      <c r="A44" s="385" t="s">
        <v>554</v>
      </c>
      <c r="B44" s="398"/>
      <c r="C44" s="386" t="s">
        <v>555</v>
      </c>
      <c r="D44" s="387">
        <f>+D41-D35</f>
        <v>64</v>
      </c>
      <c r="E44" s="387">
        <f>+E41-E35</f>
        <v>290</v>
      </c>
      <c r="F44" s="352"/>
      <c r="G44" s="352"/>
      <c r="H44" s="352"/>
      <c r="I44" s="388">
        <f>+I41-I35</f>
        <v>0</v>
      </c>
      <c r="J44" s="388">
        <f aca="true" t="shared" si="5" ref="J44:V44">+J41-J35</f>
        <v>200.79999999999995</v>
      </c>
      <c r="K44" s="388">
        <f t="shared" si="5"/>
        <v>90.80000000000007</v>
      </c>
      <c r="L44" s="388">
        <f t="shared" si="5"/>
        <v>166.69999999999993</v>
      </c>
      <c r="M44" s="388">
        <f t="shared" si="5"/>
        <v>-32</v>
      </c>
      <c r="N44" s="388">
        <f t="shared" si="5"/>
        <v>1193</v>
      </c>
      <c r="O44" s="388">
        <f t="shared" si="5"/>
        <v>-776</v>
      </c>
      <c r="P44" s="388">
        <f t="shared" si="5"/>
        <v>0</v>
      </c>
      <c r="Q44" s="388">
        <f t="shared" si="5"/>
        <v>0</v>
      </c>
      <c r="R44" s="388">
        <f t="shared" si="5"/>
        <v>0</v>
      </c>
      <c r="S44" s="388">
        <f t="shared" si="5"/>
        <v>0</v>
      </c>
      <c r="T44" s="388">
        <f t="shared" si="5"/>
        <v>0</v>
      </c>
      <c r="U44" s="388">
        <f t="shared" si="5"/>
        <v>0</v>
      </c>
      <c r="V44" s="388">
        <f t="shared" si="5"/>
        <v>2047</v>
      </c>
      <c r="W44" s="390" t="e">
        <f>+V44/I44*100</f>
        <v>#DIV/0!</v>
      </c>
    </row>
    <row r="45" spans="1:23" ht="17.25" thickBot="1">
      <c r="A45" s="397" t="s">
        <v>556</v>
      </c>
      <c r="B45" s="398"/>
      <c r="C45" s="400"/>
      <c r="D45" s="401">
        <f>+D44-D39</f>
        <v>-6741</v>
      </c>
      <c r="E45" s="401">
        <f>+E44-E39</f>
        <v>-6689</v>
      </c>
      <c r="F45" s="352"/>
      <c r="G45" s="352"/>
      <c r="H45" s="352"/>
      <c r="I45" s="388">
        <f aca="true" t="shared" si="6" ref="I45:V45">I44-I39</f>
        <v>-16180</v>
      </c>
      <c r="J45" s="388">
        <f t="shared" si="6"/>
        <v>-513.2</v>
      </c>
      <c r="K45" s="388">
        <f t="shared" si="6"/>
        <v>-493.19999999999993</v>
      </c>
      <c r="L45" s="388">
        <f t="shared" si="6"/>
        <v>-707.3000000000001</v>
      </c>
      <c r="M45" s="388">
        <f t="shared" si="6"/>
        <v>-600</v>
      </c>
      <c r="N45" s="388">
        <f t="shared" si="6"/>
        <v>-597</v>
      </c>
      <c r="O45" s="388">
        <f t="shared" si="6"/>
        <v>-792</v>
      </c>
      <c r="P45" s="388">
        <f t="shared" si="6"/>
        <v>0</v>
      </c>
      <c r="Q45" s="388">
        <f t="shared" si="6"/>
        <v>0</v>
      </c>
      <c r="R45" s="388">
        <f t="shared" si="6"/>
        <v>0</v>
      </c>
      <c r="S45" s="388">
        <f t="shared" si="6"/>
        <v>0</v>
      </c>
      <c r="T45" s="388">
        <f t="shared" si="6"/>
        <v>0</v>
      </c>
      <c r="U45" s="388">
        <f t="shared" si="6"/>
        <v>0</v>
      </c>
      <c r="V45" s="388">
        <f t="shared" si="6"/>
        <v>-6653</v>
      </c>
      <c r="W45" s="390">
        <f>+V45/I45*100</f>
        <v>41.118665018541414</v>
      </c>
    </row>
    <row r="46" spans="1:23" ht="17.25" thickBot="1">
      <c r="A46" s="397" t="s">
        <v>561</v>
      </c>
      <c r="B46" s="398"/>
      <c r="C46" s="400"/>
      <c r="D46" s="401">
        <f>+D45-D40</f>
        <v>-6766</v>
      </c>
      <c r="E46" s="401">
        <f>+E45-E40</f>
        <v>-7095</v>
      </c>
      <c r="F46" s="352"/>
      <c r="G46" s="352"/>
      <c r="H46" s="352"/>
      <c r="I46" s="388">
        <v>14780</v>
      </c>
      <c r="J46" s="388">
        <f aca="true" t="shared" si="7" ref="J46:U46">J45-J40</f>
        <v>-529.3000000000001</v>
      </c>
      <c r="K46" s="388">
        <f t="shared" si="7"/>
        <v>-547.6999999999999</v>
      </c>
      <c r="L46" s="388">
        <f t="shared" si="7"/>
        <v>-736.3000000000001</v>
      </c>
      <c r="M46" s="388">
        <f t="shared" si="7"/>
        <v>-628</v>
      </c>
      <c r="N46" s="388">
        <f t="shared" si="7"/>
        <v>-606</v>
      </c>
      <c r="O46" s="388">
        <f t="shared" si="7"/>
        <v>-793</v>
      </c>
      <c r="P46" s="388">
        <f t="shared" si="7"/>
        <v>0</v>
      </c>
      <c r="Q46" s="388">
        <f t="shared" si="7"/>
        <v>0</v>
      </c>
      <c r="R46" s="388">
        <f t="shared" si="7"/>
        <v>0</v>
      </c>
      <c r="S46" s="388">
        <f t="shared" si="7"/>
        <v>0</v>
      </c>
      <c r="T46" s="388">
        <f t="shared" si="7"/>
        <v>0</v>
      </c>
      <c r="U46" s="388">
        <f t="shared" si="7"/>
        <v>0</v>
      </c>
      <c r="V46" s="388">
        <v>7466</v>
      </c>
      <c r="W46" s="390">
        <f>+V46/I46*100</f>
        <v>50.51420838971583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0">
      <selection activeCell="W22" sqref="W22"/>
    </sheetView>
  </sheetViews>
  <sheetFormatPr defaultColWidth="9.140625" defaultRowHeight="12.75"/>
  <cols>
    <col min="1" max="1" width="32.28125" style="6" customWidth="1"/>
    <col min="2" max="2" width="10.57421875" style="6" customWidth="1"/>
    <col min="3" max="3" width="14.00390625" style="6" customWidth="1"/>
    <col min="4" max="8" width="0" style="6" hidden="1" customWidth="1"/>
    <col min="9" max="9" width="10.28125" style="6" customWidth="1"/>
    <col min="10" max="21" width="0" style="6" hidden="1" customWidth="1"/>
    <col min="22" max="23" width="10.28125" style="6" customWidth="1"/>
    <col min="24" max="16384" width="9.140625" style="6" customWidth="1"/>
  </cols>
  <sheetData>
    <row r="1" spans="1:9" ht="25.5">
      <c r="A1" s="278" t="s">
        <v>459</v>
      </c>
      <c r="B1" s="279"/>
      <c r="C1" s="280"/>
      <c r="D1" s="280"/>
      <c r="E1" s="280"/>
      <c r="F1" s="280"/>
      <c r="G1" s="280"/>
      <c r="H1" s="280"/>
      <c r="I1" s="283"/>
    </row>
    <row r="2" spans="1:9" ht="18">
      <c r="A2" s="284" t="s">
        <v>460</v>
      </c>
      <c r="B2" s="285"/>
      <c r="I2" s="286"/>
    </row>
    <row r="3" spans="1:9" ht="12.75">
      <c r="A3" s="286"/>
      <c r="B3" s="286"/>
      <c r="I3" s="286"/>
    </row>
    <row r="4" spans="9:15" ht="13.5" thickBot="1">
      <c r="I4" s="286"/>
      <c r="M4" s="287"/>
      <c r="N4" s="287"/>
      <c r="O4" s="287"/>
    </row>
    <row r="5" spans="1:15" ht="16.5" thickBot="1">
      <c r="A5" s="288" t="s">
        <v>461</v>
      </c>
      <c r="B5" s="289" t="s">
        <v>462</v>
      </c>
      <c r="C5" s="291"/>
      <c r="D5" s="290"/>
      <c r="E5" s="290"/>
      <c r="F5" s="291"/>
      <c r="H5" s="292"/>
      <c r="I5" s="293"/>
      <c r="M5" s="287"/>
      <c r="N5" s="287"/>
      <c r="O5" s="287"/>
    </row>
    <row r="6" spans="1:9" ht="13.5" thickBot="1">
      <c r="A6" s="283" t="s">
        <v>463</v>
      </c>
      <c r="B6" s="283"/>
      <c r="I6" s="286"/>
    </row>
    <row r="7" spans="1:23" ht="15.75">
      <c r="A7" s="294"/>
      <c r="B7" s="295"/>
      <c r="C7" s="296"/>
      <c r="D7" s="297"/>
      <c r="E7" s="297"/>
      <c r="F7" s="297"/>
      <c r="G7" s="297"/>
      <c r="H7" s="297"/>
      <c r="I7" s="298" t="s">
        <v>6</v>
      </c>
      <c r="J7" s="299"/>
      <c r="K7" s="300"/>
      <c r="L7" s="300"/>
      <c r="M7" s="300"/>
      <c r="N7" s="300"/>
      <c r="O7" s="301"/>
      <c r="P7" s="300"/>
      <c r="Q7" s="300"/>
      <c r="R7" s="300"/>
      <c r="S7" s="300"/>
      <c r="T7" s="300"/>
      <c r="U7" s="300"/>
      <c r="V7" s="302" t="s">
        <v>464</v>
      </c>
      <c r="W7" s="298" t="s">
        <v>465</v>
      </c>
    </row>
    <row r="8" spans="1:23" ht="13.5" thickBot="1">
      <c r="A8" s="303" t="s">
        <v>210</v>
      </c>
      <c r="B8" s="304"/>
      <c r="C8" s="305"/>
      <c r="D8" s="306" t="s">
        <v>466</v>
      </c>
      <c r="E8" s="306" t="s">
        <v>467</v>
      </c>
      <c r="F8" s="306"/>
      <c r="G8" s="306"/>
      <c r="H8" s="306"/>
      <c r="I8" s="307">
        <v>2010</v>
      </c>
      <c r="J8" s="308" t="s">
        <v>468</v>
      </c>
      <c r="K8" s="309" t="s">
        <v>469</v>
      </c>
      <c r="L8" s="309" t="s">
        <v>470</v>
      </c>
      <c r="M8" s="309" t="s">
        <v>471</v>
      </c>
      <c r="N8" s="309" t="s">
        <v>472</v>
      </c>
      <c r="O8" s="309" t="s">
        <v>473</v>
      </c>
      <c r="P8" s="309" t="s">
        <v>474</v>
      </c>
      <c r="Q8" s="309" t="s">
        <v>475</v>
      </c>
      <c r="R8" s="309" t="s">
        <v>476</v>
      </c>
      <c r="S8" s="309" t="s">
        <v>477</v>
      </c>
      <c r="T8" s="309" t="s">
        <v>478</v>
      </c>
      <c r="U8" s="308" t="s">
        <v>479</v>
      </c>
      <c r="V8" s="310" t="s">
        <v>480</v>
      </c>
      <c r="W8" s="307" t="s">
        <v>481</v>
      </c>
    </row>
    <row r="9" spans="1:23" ht="16.5">
      <c r="A9" s="311" t="s">
        <v>482</v>
      </c>
      <c r="B9" s="312"/>
      <c r="C9" s="313"/>
      <c r="D9" s="314">
        <v>22</v>
      </c>
      <c r="E9" s="314">
        <v>23</v>
      </c>
      <c r="F9" s="268"/>
      <c r="G9" s="268"/>
      <c r="H9" s="268"/>
      <c r="I9" s="315">
        <v>21</v>
      </c>
      <c r="J9" s="316">
        <v>21</v>
      </c>
      <c r="K9" s="317">
        <v>21</v>
      </c>
      <c r="L9" s="317">
        <v>21</v>
      </c>
      <c r="M9" s="317">
        <v>21</v>
      </c>
      <c r="N9" s="271">
        <v>21</v>
      </c>
      <c r="O9" s="271">
        <v>21</v>
      </c>
      <c r="P9" s="269"/>
      <c r="Q9" s="269"/>
      <c r="R9" s="269"/>
      <c r="S9" s="269"/>
      <c r="T9" s="269"/>
      <c r="U9" s="269"/>
      <c r="V9" s="407">
        <v>21</v>
      </c>
      <c r="W9" s="318" t="s">
        <v>483</v>
      </c>
    </row>
    <row r="10" spans="1:23" ht="17.25" thickBot="1">
      <c r="A10" s="319" t="s">
        <v>484</v>
      </c>
      <c r="B10" s="320"/>
      <c r="C10" s="321"/>
      <c r="D10" s="322">
        <v>20.91</v>
      </c>
      <c r="E10" s="322">
        <v>21.91</v>
      </c>
      <c r="F10" s="323"/>
      <c r="G10" s="323"/>
      <c r="H10" s="323"/>
      <c r="I10" s="324">
        <v>20.4</v>
      </c>
      <c r="J10" s="325">
        <v>20.4</v>
      </c>
      <c r="K10" s="326">
        <v>20.4</v>
      </c>
      <c r="L10" s="327">
        <v>20.4</v>
      </c>
      <c r="M10" s="327">
        <v>20.4</v>
      </c>
      <c r="N10" s="326">
        <v>20.4</v>
      </c>
      <c r="O10" s="326">
        <v>20.4</v>
      </c>
      <c r="P10" s="328"/>
      <c r="Q10" s="328"/>
      <c r="R10" s="328"/>
      <c r="S10" s="328"/>
      <c r="T10" s="328"/>
      <c r="U10" s="329"/>
      <c r="V10" s="403">
        <v>20.4</v>
      </c>
      <c r="W10" s="331" t="s">
        <v>483</v>
      </c>
    </row>
    <row r="11" spans="1:23" ht="16.5">
      <c r="A11" s="332" t="s">
        <v>485</v>
      </c>
      <c r="B11" s="312"/>
      <c r="C11" s="333" t="s">
        <v>486</v>
      </c>
      <c r="D11" s="334">
        <v>4630</v>
      </c>
      <c r="E11" s="334">
        <v>5103</v>
      </c>
      <c r="F11" s="273"/>
      <c r="G11" s="273"/>
      <c r="H11" s="272"/>
      <c r="I11" s="335" t="s">
        <v>483</v>
      </c>
      <c r="J11" s="336">
        <f>1612.2+5929.9+2.5</f>
        <v>7544.599999999999</v>
      </c>
      <c r="K11" s="337">
        <f>1612.2+5929.9+2.5</f>
        <v>7544.599999999999</v>
      </c>
      <c r="L11" s="337">
        <f>1612.2+5929.9+2.5</f>
        <v>7544.599999999999</v>
      </c>
      <c r="M11" s="338">
        <v>7676</v>
      </c>
      <c r="N11" s="339">
        <v>7676</v>
      </c>
      <c r="O11" s="339">
        <v>7679</v>
      </c>
      <c r="P11" s="339"/>
      <c r="Q11" s="339"/>
      <c r="R11" s="339"/>
      <c r="S11" s="339"/>
      <c r="T11" s="339"/>
      <c r="U11" s="336"/>
      <c r="V11" s="406">
        <v>7679</v>
      </c>
      <c r="W11" s="335" t="s">
        <v>483</v>
      </c>
    </row>
    <row r="12" spans="1:23" ht="16.5">
      <c r="A12" s="332" t="s">
        <v>487</v>
      </c>
      <c r="B12" s="340"/>
      <c r="C12" s="333" t="s">
        <v>488</v>
      </c>
      <c r="D12" s="341">
        <v>3811</v>
      </c>
      <c r="E12" s="341">
        <v>4577</v>
      </c>
      <c r="F12" s="273"/>
      <c r="G12" s="273"/>
      <c r="H12" s="273"/>
      <c r="I12" s="335" t="s">
        <v>483</v>
      </c>
      <c r="J12" s="342">
        <f>1276.1+5929.9</f>
        <v>7206</v>
      </c>
      <c r="K12" s="343">
        <f>1282.4+5929.9</f>
        <v>7212.299999999999</v>
      </c>
      <c r="L12" s="343">
        <f>1288.7+5929.9</f>
        <v>7218.599999999999</v>
      </c>
      <c r="M12" s="344">
        <v>7225</v>
      </c>
      <c r="N12" s="339">
        <v>7233</v>
      </c>
      <c r="O12" s="339">
        <v>7244</v>
      </c>
      <c r="P12" s="339"/>
      <c r="Q12" s="339"/>
      <c r="R12" s="339"/>
      <c r="S12" s="339"/>
      <c r="T12" s="339"/>
      <c r="U12" s="336"/>
      <c r="V12" s="406">
        <v>7244</v>
      </c>
      <c r="W12" s="335" t="s">
        <v>483</v>
      </c>
    </row>
    <row r="13" spans="1:23" ht="16.5">
      <c r="A13" s="332" t="s">
        <v>489</v>
      </c>
      <c r="B13" s="312"/>
      <c r="C13" s="333" t="s">
        <v>490</v>
      </c>
      <c r="D13" s="341">
        <v>0</v>
      </c>
      <c r="E13" s="341">
        <v>0</v>
      </c>
      <c r="F13" s="273"/>
      <c r="G13" s="273"/>
      <c r="H13" s="273"/>
      <c r="I13" s="335" t="s">
        <v>483</v>
      </c>
      <c r="J13" s="342">
        <v>12</v>
      </c>
      <c r="K13" s="343">
        <v>11.5</v>
      </c>
      <c r="L13" s="344">
        <v>11.5</v>
      </c>
      <c r="M13" s="344">
        <v>12</v>
      </c>
      <c r="N13" s="339">
        <v>12</v>
      </c>
      <c r="O13" s="339">
        <v>12</v>
      </c>
      <c r="P13" s="339"/>
      <c r="Q13" s="339"/>
      <c r="R13" s="339"/>
      <c r="S13" s="339"/>
      <c r="T13" s="339"/>
      <c r="U13" s="336"/>
      <c r="V13" s="406">
        <v>12</v>
      </c>
      <c r="W13" s="335" t="s">
        <v>483</v>
      </c>
    </row>
    <row r="14" spans="1:23" ht="16.5">
      <c r="A14" s="332" t="s">
        <v>491</v>
      </c>
      <c r="B14" s="340"/>
      <c r="C14" s="333" t="s">
        <v>492</v>
      </c>
      <c r="D14" s="341">
        <v>0</v>
      </c>
      <c r="E14" s="341">
        <v>0</v>
      </c>
      <c r="F14" s="273"/>
      <c r="G14" s="273"/>
      <c r="H14" s="273"/>
      <c r="I14" s="335" t="s">
        <v>483</v>
      </c>
      <c r="J14" s="342">
        <v>656.5</v>
      </c>
      <c r="K14" s="343">
        <v>494.4</v>
      </c>
      <c r="L14" s="344">
        <v>342</v>
      </c>
      <c r="M14" s="344">
        <v>152</v>
      </c>
      <c r="N14" s="339">
        <v>204</v>
      </c>
      <c r="O14" s="339">
        <v>271</v>
      </c>
      <c r="P14" s="339"/>
      <c r="Q14" s="339"/>
      <c r="R14" s="339"/>
      <c r="S14" s="339"/>
      <c r="T14" s="339"/>
      <c r="U14" s="336"/>
      <c r="V14" s="406">
        <v>271</v>
      </c>
      <c r="W14" s="335" t="s">
        <v>483</v>
      </c>
    </row>
    <row r="15" spans="1:23" ht="17.25" thickBot="1">
      <c r="A15" s="311" t="s">
        <v>493</v>
      </c>
      <c r="B15" s="312"/>
      <c r="C15" s="345" t="s">
        <v>494</v>
      </c>
      <c r="D15" s="346">
        <v>869</v>
      </c>
      <c r="E15" s="346">
        <v>1024</v>
      </c>
      <c r="F15" s="270"/>
      <c r="G15" s="270"/>
      <c r="H15" s="270"/>
      <c r="I15" s="318" t="s">
        <v>483</v>
      </c>
      <c r="J15" s="347">
        <v>1515.4</v>
      </c>
      <c r="K15" s="271">
        <v>1551.5</v>
      </c>
      <c r="L15" s="317">
        <v>1762</v>
      </c>
      <c r="M15" s="317">
        <v>1845</v>
      </c>
      <c r="N15" s="271">
        <v>2829</v>
      </c>
      <c r="O15" s="271">
        <v>2209</v>
      </c>
      <c r="P15" s="271"/>
      <c r="Q15" s="271"/>
      <c r="R15" s="271"/>
      <c r="S15" s="271"/>
      <c r="T15" s="271"/>
      <c r="U15" s="271"/>
      <c r="V15" s="407">
        <v>2209</v>
      </c>
      <c r="W15" s="318" t="s">
        <v>483</v>
      </c>
    </row>
    <row r="16" spans="1:23" ht="17.25" thickBot="1">
      <c r="A16" s="348" t="s">
        <v>495</v>
      </c>
      <c r="B16" s="349"/>
      <c r="C16" s="350"/>
      <c r="D16" s="351">
        <v>1838</v>
      </c>
      <c r="E16" s="351">
        <v>1811</v>
      </c>
      <c r="F16" s="352"/>
      <c r="G16" s="352"/>
      <c r="H16" s="352"/>
      <c r="I16" s="353" t="s">
        <v>483</v>
      </c>
      <c r="J16" s="354">
        <v>2321</v>
      </c>
      <c r="K16" s="355">
        <v>2098</v>
      </c>
      <c r="L16" s="356">
        <v>1983</v>
      </c>
      <c r="M16" s="356">
        <v>2033</v>
      </c>
      <c r="N16" s="355">
        <v>1868</v>
      </c>
      <c r="O16" s="355">
        <v>2083</v>
      </c>
      <c r="P16" s="355"/>
      <c r="Q16" s="355"/>
      <c r="R16" s="355"/>
      <c r="S16" s="355"/>
      <c r="T16" s="355"/>
      <c r="U16" s="354"/>
      <c r="V16" s="408">
        <v>2083</v>
      </c>
      <c r="W16" s="353" t="s">
        <v>483</v>
      </c>
    </row>
    <row r="17" spans="1:23" ht="16.5">
      <c r="A17" s="311" t="s">
        <v>496</v>
      </c>
      <c r="B17" s="312"/>
      <c r="C17" s="345" t="s">
        <v>497</v>
      </c>
      <c r="D17" s="346">
        <v>833</v>
      </c>
      <c r="E17" s="346">
        <v>540</v>
      </c>
      <c r="F17" s="270"/>
      <c r="G17" s="270"/>
      <c r="H17" s="270"/>
      <c r="I17" s="318" t="s">
        <v>483</v>
      </c>
      <c r="J17" s="347">
        <v>353</v>
      </c>
      <c r="K17" s="271">
        <v>347</v>
      </c>
      <c r="L17" s="317">
        <v>340.7</v>
      </c>
      <c r="M17" s="317">
        <v>336</v>
      </c>
      <c r="N17" s="271">
        <v>458</v>
      </c>
      <c r="O17" s="271">
        <v>450</v>
      </c>
      <c r="P17" s="271"/>
      <c r="Q17" s="271"/>
      <c r="R17" s="271"/>
      <c r="S17" s="271"/>
      <c r="T17" s="271"/>
      <c r="U17" s="271"/>
      <c r="V17" s="407">
        <v>450</v>
      </c>
      <c r="W17" s="318" t="s">
        <v>483</v>
      </c>
    </row>
    <row r="18" spans="1:23" ht="16.5">
      <c r="A18" s="332" t="s">
        <v>498</v>
      </c>
      <c r="B18" s="340"/>
      <c r="C18" s="333" t="s">
        <v>499</v>
      </c>
      <c r="D18" s="334">
        <v>584</v>
      </c>
      <c r="E18" s="334">
        <v>483</v>
      </c>
      <c r="F18" s="273"/>
      <c r="G18" s="273"/>
      <c r="H18" s="273"/>
      <c r="I18" s="335" t="s">
        <v>483</v>
      </c>
      <c r="J18" s="336">
        <f>13.2+29.3+463.8+6.5+243.2</f>
        <v>756</v>
      </c>
      <c r="K18" s="339">
        <f>13.2+31.9+463.7+5.6+249.4</f>
        <v>763.8</v>
      </c>
      <c r="L18" s="338">
        <f>13.2+34.6+463.8+5.6+255.8</f>
        <v>773</v>
      </c>
      <c r="M18" s="338">
        <v>815</v>
      </c>
      <c r="N18" s="339">
        <v>826</v>
      </c>
      <c r="O18" s="339">
        <v>838</v>
      </c>
      <c r="P18" s="339"/>
      <c r="Q18" s="339"/>
      <c r="R18" s="339"/>
      <c r="S18" s="339"/>
      <c r="T18" s="339"/>
      <c r="U18" s="336"/>
      <c r="V18" s="406">
        <v>838</v>
      </c>
      <c r="W18" s="335" t="s">
        <v>483</v>
      </c>
    </row>
    <row r="19" spans="1:23" ht="16.5">
      <c r="A19" s="332" t="s">
        <v>500</v>
      </c>
      <c r="B19" s="340"/>
      <c r="C19" s="333" t="s">
        <v>501</v>
      </c>
      <c r="D19" s="341">
        <v>0</v>
      </c>
      <c r="E19" s="341">
        <v>0</v>
      </c>
      <c r="F19" s="273"/>
      <c r="G19" s="273"/>
      <c r="H19" s="273"/>
      <c r="I19" s="335" t="s">
        <v>483</v>
      </c>
      <c r="J19" s="342">
        <v>0</v>
      </c>
      <c r="K19" s="343">
        <v>0</v>
      </c>
      <c r="L19" s="344">
        <v>0</v>
      </c>
      <c r="M19" s="344">
        <v>0</v>
      </c>
      <c r="N19" s="339">
        <v>0</v>
      </c>
      <c r="O19" s="339">
        <v>0</v>
      </c>
      <c r="P19" s="339"/>
      <c r="Q19" s="339"/>
      <c r="R19" s="339"/>
      <c r="S19" s="339"/>
      <c r="T19" s="339"/>
      <c r="U19" s="336"/>
      <c r="V19" s="406">
        <v>0</v>
      </c>
      <c r="W19" s="335" t="s">
        <v>483</v>
      </c>
    </row>
    <row r="20" spans="1:23" ht="16.5">
      <c r="A20" s="332" t="s">
        <v>502</v>
      </c>
      <c r="B20" s="312"/>
      <c r="C20" s="333" t="s">
        <v>503</v>
      </c>
      <c r="D20" s="341">
        <v>225</v>
      </c>
      <c r="E20" s="341">
        <v>259</v>
      </c>
      <c r="F20" s="273"/>
      <c r="G20" s="273"/>
      <c r="H20" s="273"/>
      <c r="I20" s="335" t="s">
        <v>483</v>
      </c>
      <c r="J20" s="342">
        <v>1178.5</v>
      </c>
      <c r="K20" s="343">
        <v>953.6</v>
      </c>
      <c r="L20" s="344">
        <v>836</v>
      </c>
      <c r="M20" s="344">
        <v>752</v>
      </c>
      <c r="N20" s="339">
        <v>584</v>
      </c>
      <c r="O20" s="339">
        <v>796</v>
      </c>
      <c r="P20" s="339"/>
      <c r="Q20" s="339"/>
      <c r="R20" s="339"/>
      <c r="S20" s="339"/>
      <c r="T20" s="339"/>
      <c r="U20" s="336"/>
      <c r="V20" s="406">
        <v>796</v>
      </c>
      <c r="W20" s="335" t="s">
        <v>483</v>
      </c>
    </row>
    <row r="21" spans="1:23" ht="17.25" thickBot="1">
      <c r="A21" s="332" t="s">
        <v>504</v>
      </c>
      <c r="B21" s="320"/>
      <c r="C21" s="333" t="s">
        <v>505</v>
      </c>
      <c r="D21" s="341">
        <v>0</v>
      </c>
      <c r="E21" s="341">
        <v>0</v>
      </c>
      <c r="F21" s="357"/>
      <c r="G21" s="357"/>
      <c r="H21" s="357"/>
      <c r="I21" s="335" t="s">
        <v>483</v>
      </c>
      <c r="J21" s="342">
        <v>0</v>
      </c>
      <c r="K21" s="343">
        <v>0</v>
      </c>
      <c r="L21" s="344">
        <v>0</v>
      </c>
      <c r="M21" s="344">
        <v>0</v>
      </c>
      <c r="N21" s="339">
        <v>0</v>
      </c>
      <c r="O21" s="339">
        <v>0</v>
      </c>
      <c r="P21" s="339"/>
      <c r="Q21" s="339"/>
      <c r="R21" s="339"/>
      <c r="S21" s="339"/>
      <c r="T21" s="339"/>
      <c r="U21" s="336"/>
      <c r="V21" s="406">
        <v>0</v>
      </c>
      <c r="W21" s="335" t="s">
        <v>483</v>
      </c>
    </row>
    <row r="22" spans="1:23" ht="16.5">
      <c r="A22" s="358" t="s">
        <v>506</v>
      </c>
      <c r="B22" s="312"/>
      <c r="C22" s="359"/>
      <c r="D22" s="360">
        <v>6805</v>
      </c>
      <c r="E22" s="360">
        <v>6979</v>
      </c>
      <c r="F22" s="272"/>
      <c r="G22" s="272"/>
      <c r="H22" s="272"/>
      <c r="I22" s="361">
        <v>8730</v>
      </c>
      <c r="J22" s="362">
        <v>714</v>
      </c>
      <c r="K22" s="337">
        <v>584</v>
      </c>
      <c r="L22" s="337">
        <v>874</v>
      </c>
      <c r="M22" s="337">
        <v>698</v>
      </c>
      <c r="N22" s="337">
        <v>1790</v>
      </c>
      <c r="O22" s="337">
        <v>16</v>
      </c>
      <c r="P22" s="337"/>
      <c r="Q22" s="337"/>
      <c r="R22" s="337"/>
      <c r="S22" s="337"/>
      <c r="T22" s="337"/>
      <c r="U22" s="362"/>
      <c r="V22" s="363">
        <f>SUM(J22:U22)</f>
        <v>4676</v>
      </c>
      <c r="W22" s="364">
        <f>+V22/I22*100</f>
        <v>53.562428407789234</v>
      </c>
    </row>
    <row r="23" spans="1:23" ht="16.5">
      <c r="A23" s="332" t="s">
        <v>507</v>
      </c>
      <c r="B23" s="340"/>
      <c r="C23" s="365"/>
      <c r="D23" s="334"/>
      <c r="E23" s="334"/>
      <c r="F23" s="273"/>
      <c r="G23" s="273"/>
      <c r="H23" s="273"/>
      <c r="I23" s="366">
        <v>130</v>
      </c>
      <c r="J23" s="336">
        <v>0</v>
      </c>
      <c r="K23" s="339">
        <v>0</v>
      </c>
      <c r="L23" s="339">
        <v>0</v>
      </c>
      <c r="M23" s="339">
        <v>130</v>
      </c>
      <c r="N23" s="339">
        <v>0</v>
      </c>
      <c r="O23" s="339">
        <v>0</v>
      </c>
      <c r="P23" s="339"/>
      <c r="Q23" s="339"/>
      <c r="R23" s="339"/>
      <c r="S23" s="339"/>
      <c r="T23" s="339"/>
      <c r="U23" s="336"/>
      <c r="V23" s="367">
        <f>SUM(J23:U23)</f>
        <v>130</v>
      </c>
      <c r="W23" s="368">
        <f>+V23/I23*100</f>
        <v>100</v>
      </c>
    </row>
    <row r="24" spans="1:23" ht="17.25" thickBot="1">
      <c r="A24" s="369" t="s">
        <v>508</v>
      </c>
      <c r="B24" s="312"/>
      <c r="C24" s="370"/>
      <c r="D24" s="371">
        <v>6505</v>
      </c>
      <c r="E24" s="371">
        <v>6369</v>
      </c>
      <c r="F24" s="274"/>
      <c r="G24" s="274"/>
      <c r="H24" s="274"/>
      <c r="I24" s="372">
        <v>7010</v>
      </c>
      <c r="J24" s="373">
        <v>714</v>
      </c>
      <c r="K24" s="374">
        <v>584</v>
      </c>
      <c r="L24" s="374">
        <v>584</v>
      </c>
      <c r="M24" s="374">
        <v>568</v>
      </c>
      <c r="N24" s="374">
        <v>1140</v>
      </c>
      <c r="O24" s="374">
        <v>16</v>
      </c>
      <c r="P24" s="374"/>
      <c r="Q24" s="374"/>
      <c r="R24" s="374"/>
      <c r="S24" s="374"/>
      <c r="T24" s="374"/>
      <c r="U24" s="373"/>
      <c r="V24" s="375">
        <f>SUM(J24:U24)</f>
        <v>3606</v>
      </c>
      <c r="W24" s="376">
        <f>+V24/I24*100</f>
        <v>51.440798858773185</v>
      </c>
    </row>
    <row r="25" spans="1:23" ht="16.5">
      <c r="A25" s="332" t="s">
        <v>509</v>
      </c>
      <c r="B25" s="377" t="s">
        <v>510</v>
      </c>
      <c r="C25" s="333" t="s">
        <v>511</v>
      </c>
      <c r="D25" s="334">
        <v>2275</v>
      </c>
      <c r="E25" s="334">
        <v>2131</v>
      </c>
      <c r="F25" s="273"/>
      <c r="G25" s="273"/>
      <c r="H25" s="273"/>
      <c r="I25" s="378">
        <v>1136</v>
      </c>
      <c r="J25" s="336">
        <v>12.3</v>
      </c>
      <c r="K25" s="339">
        <v>42.2</v>
      </c>
      <c r="L25" s="339">
        <v>58</v>
      </c>
      <c r="M25" s="339">
        <v>53</v>
      </c>
      <c r="N25" s="339">
        <v>66</v>
      </c>
      <c r="O25" s="339">
        <v>82</v>
      </c>
      <c r="P25" s="339"/>
      <c r="Q25" s="339"/>
      <c r="R25" s="339"/>
      <c r="S25" s="339"/>
      <c r="T25" s="339"/>
      <c r="U25" s="336"/>
      <c r="V25" s="367">
        <f aca="true" t="shared" si="0" ref="V25:V34">SUM(J25:U25)</f>
        <v>313.5</v>
      </c>
      <c r="W25" s="368">
        <f aca="true" t="shared" si="1" ref="W25:W34">+V25/I25*100</f>
        <v>27.596830985915492</v>
      </c>
    </row>
    <row r="26" spans="1:23" ht="16.5">
      <c r="A26" s="332" t="s">
        <v>512</v>
      </c>
      <c r="B26" s="379" t="s">
        <v>513</v>
      </c>
      <c r="C26" s="333" t="s">
        <v>514</v>
      </c>
      <c r="D26" s="341">
        <v>269</v>
      </c>
      <c r="E26" s="341">
        <v>415</v>
      </c>
      <c r="F26" s="275"/>
      <c r="G26" s="275"/>
      <c r="H26" s="275"/>
      <c r="I26" s="366">
        <v>847</v>
      </c>
      <c r="J26" s="336">
        <v>7.2</v>
      </c>
      <c r="K26" s="339">
        <v>9.9</v>
      </c>
      <c r="L26" s="339">
        <v>173</v>
      </c>
      <c r="M26" s="339">
        <v>19</v>
      </c>
      <c r="N26" s="339">
        <v>7</v>
      </c>
      <c r="O26" s="339">
        <v>170</v>
      </c>
      <c r="P26" s="339"/>
      <c r="Q26" s="339"/>
      <c r="R26" s="339"/>
      <c r="S26" s="339"/>
      <c r="T26" s="339"/>
      <c r="U26" s="336"/>
      <c r="V26" s="367">
        <f t="shared" si="0"/>
        <v>386.1</v>
      </c>
      <c r="W26" s="368">
        <f t="shared" si="1"/>
        <v>45.58441558441559</v>
      </c>
    </row>
    <row r="27" spans="1:23" ht="16.5">
      <c r="A27" s="332" t="s">
        <v>515</v>
      </c>
      <c r="B27" s="380" t="s">
        <v>516</v>
      </c>
      <c r="C27" s="333" t="s">
        <v>517</v>
      </c>
      <c r="D27" s="341">
        <v>0</v>
      </c>
      <c r="E27" s="341">
        <v>1</v>
      </c>
      <c r="F27" s="275"/>
      <c r="G27" s="275"/>
      <c r="H27" s="275"/>
      <c r="I27" s="366"/>
      <c r="J27" s="336">
        <v>0</v>
      </c>
      <c r="K27" s="339">
        <v>0</v>
      </c>
      <c r="L27" s="339">
        <v>0.3</v>
      </c>
      <c r="M27" s="339">
        <v>0</v>
      </c>
      <c r="N27" s="339">
        <v>0</v>
      </c>
      <c r="O27" s="339">
        <v>0</v>
      </c>
      <c r="P27" s="339"/>
      <c r="Q27" s="339"/>
      <c r="R27" s="339"/>
      <c r="S27" s="339"/>
      <c r="T27" s="339"/>
      <c r="U27" s="336"/>
      <c r="V27" s="367">
        <f t="shared" si="0"/>
        <v>0.3</v>
      </c>
      <c r="W27" s="368" t="e">
        <f t="shared" si="1"/>
        <v>#DIV/0!</v>
      </c>
    </row>
    <row r="28" spans="1:23" ht="16.5">
      <c r="A28" s="332" t="s">
        <v>518</v>
      </c>
      <c r="B28" s="380" t="s">
        <v>519</v>
      </c>
      <c r="C28" s="333" t="s">
        <v>520</v>
      </c>
      <c r="D28" s="341">
        <v>582</v>
      </c>
      <c r="E28" s="341">
        <v>430</v>
      </c>
      <c r="F28" s="275"/>
      <c r="G28" s="275"/>
      <c r="H28" s="275"/>
      <c r="I28" s="366">
        <v>73</v>
      </c>
      <c r="J28" s="336">
        <v>0</v>
      </c>
      <c r="K28" s="339">
        <v>0.4</v>
      </c>
      <c r="L28" s="339">
        <v>1</v>
      </c>
      <c r="M28" s="339">
        <v>1</v>
      </c>
      <c r="N28" s="339">
        <v>10</v>
      </c>
      <c r="O28" s="339">
        <v>1</v>
      </c>
      <c r="P28" s="339"/>
      <c r="Q28" s="339"/>
      <c r="R28" s="339"/>
      <c r="S28" s="339"/>
      <c r="T28" s="339"/>
      <c r="U28" s="336"/>
      <c r="V28" s="367">
        <f t="shared" si="0"/>
        <v>13.4</v>
      </c>
      <c r="W28" s="368">
        <f t="shared" si="1"/>
        <v>18.356164383561644</v>
      </c>
    </row>
    <row r="29" spans="1:23" ht="16.5">
      <c r="A29" s="332" t="s">
        <v>521</v>
      </c>
      <c r="B29" s="379" t="s">
        <v>522</v>
      </c>
      <c r="C29" s="333" t="s">
        <v>523</v>
      </c>
      <c r="D29" s="341">
        <v>566</v>
      </c>
      <c r="E29" s="341">
        <v>656</v>
      </c>
      <c r="F29" s="275"/>
      <c r="G29" s="275"/>
      <c r="H29" s="275"/>
      <c r="I29" s="366">
        <v>690</v>
      </c>
      <c r="J29" s="336">
        <v>27.3</v>
      </c>
      <c r="K29" s="339">
        <v>20.4</v>
      </c>
      <c r="L29" s="339">
        <v>51.8</v>
      </c>
      <c r="M29" s="339">
        <v>33</v>
      </c>
      <c r="N29" s="339">
        <v>62</v>
      </c>
      <c r="O29" s="339">
        <v>38</v>
      </c>
      <c r="P29" s="339"/>
      <c r="Q29" s="339"/>
      <c r="R29" s="339"/>
      <c r="S29" s="339"/>
      <c r="T29" s="339"/>
      <c r="U29" s="336"/>
      <c r="V29" s="367">
        <f t="shared" si="0"/>
        <v>232.5</v>
      </c>
      <c r="W29" s="368">
        <f t="shared" si="1"/>
        <v>33.69565217391305</v>
      </c>
    </row>
    <row r="30" spans="1:23" ht="16.5">
      <c r="A30" s="332" t="s">
        <v>524</v>
      </c>
      <c r="B30" s="380" t="s">
        <v>525</v>
      </c>
      <c r="C30" s="333" t="s">
        <v>526</v>
      </c>
      <c r="D30" s="341">
        <v>2457</v>
      </c>
      <c r="E30" s="341">
        <v>2785</v>
      </c>
      <c r="F30" s="275"/>
      <c r="G30" s="275"/>
      <c r="H30" s="275"/>
      <c r="I30" s="366">
        <v>4600</v>
      </c>
      <c r="J30" s="336">
        <v>389</v>
      </c>
      <c r="K30" s="339">
        <v>381</v>
      </c>
      <c r="L30" s="339">
        <v>354</v>
      </c>
      <c r="M30" s="339">
        <v>401</v>
      </c>
      <c r="N30" s="339">
        <v>350</v>
      </c>
      <c r="O30" s="339">
        <v>380</v>
      </c>
      <c r="P30" s="339"/>
      <c r="Q30" s="339"/>
      <c r="R30" s="339"/>
      <c r="S30" s="339"/>
      <c r="T30" s="339"/>
      <c r="U30" s="336"/>
      <c r="V30" s="367">
        <f>SUM(J30:U30)</f>
        <v>2255</v>
      </c>
      <c r="W30" s="368">
        <f>+V30/I30*100</f>
        <v>49.02173913043478</v>
      </c>
    </row>
    <row r="31" spans="1:23" ht="16.5">
      <c r="A31" s="332" t="s">
        <v>527</v>
      </c>
      <c r="B31" s="380" t="s">
        <v>528</v>
      </c>
      <c r="C31" s="333" t="s">
        <v>529</v>
      </c>
      <c r="D31" s="341">
        <v>943</v>
      </c>
      <c r="E31" s="341">
        <v>1044</v>
      </c>
      <c r="F31" s="275"/>
      <c r="G31" s="275"/>
      <c r="H31" s="275"/>
      <c r="I31" s="366">
        <v>1656</v>
      </c>
      <c r="J31" s="336">
        <f>129.9+15.4+1.6</f>
        <v>146.9</v>
      </c>
      <c r="K31" s="339">
        <f>128+15.3+0.7</f>
        <v>144</v>
      </c>
      <c r="L31" s="339">
        <f>117.8+15.4+1.9</f>
        <v>135.1</v>
      </c>
      <c r="M31" s="339">
        <v>151</v>
      </c>
      <c r="N31" s="339">
        <v>133</v>
      </c>
      <c r="O31" s="339">
        <v>147</v>
      </c>
      <c r="P31" s="339"/>
      <c r="Q31" s="339"/>
      <c r="R31" s="339"/>
      <c r="S31" s="339"/>
      <c r="T31" s="339"/>
      <c r="U31" s="336"/>
      <c r="V31" s="367">
        <f>SUM(J31:U31)</f>
        <v>857</v>
      </c>
      <c r="W31" s="368">
        <f>+V31/I31*100</f>
        <v>51.7512077294686</v>
      </c>
    </row>
    <row r="32" spans="1:23" ht="16.5">
      <c r="A32" s="332" t="s">
        <v>530</v>
      </c>
      <c r="B32" s="379" t="s">
        <v>531</v>
      </c>
      <c r="C32" s="333" t="s">
        <v>532</v>
      </c>
      <c r="D32" s="341">
        <v>0</v>
      </c>
      <c r="E32" s="341">
        <v>0</v>
      </c>
      <c r="F32" s="275"/>
      <c r="G32" s="275"/>
      <c r="H32" s="275"/>
      <c r="I32" s="366">
        <v>0</v>
      </c>
      <c r="J32" s="336">
        <v>0</v>
      </c>
      <c r="K32" s="339">
        <v>0</v>
      </c>
      <c r="L32" s="339">
        <v>0</v>
      </c>
      <c r="M32" s="339">
        <v>0</v>
      </c>
      <c r="N32" s="339">
        <v>0</v>
      </c>
      <c r="O32" s="339">
        <v>0</v>
      </c>
      <c r="P32" s="339"/>
      <c r="Q32" s="339"/>
      <c r="R32" s="339"/>
      <c r="S32" s="339"/>
      <c r="T32" s="339"/>
      <c r="U32" s="336"/>
      <c r="V32" s="367">
        <f t="shared" si="0"/>
        <v>0</v>
      </c>
      <c r="W32" s="368" t="e">
        <f t="shared" si="1"/>
        <v>#DIV/0!</v>
      </c>
    </row>
    <row r="33" spans="1:23" ht="16.5">
      <c r="A33" s="332" t="s">
        <v>533</v>
      </c>
      <c r="B33" s="380" t="s">
        <v>534</v>
      </c>
      <c r="C33" s="333" t="s">
        <v>535</v>
      </c>
      <c r="D33" s="341">
        <v>318</v>
      </c>
      <c r="E33" s="341">
        <v>252</v>
      </c>
      <c r="F33" s="275"/>
      <c r="G33" s="275"/>
      <c r="H33" s="275"/>
      <c r="I33" s="366">
        <v>90</v>
      </c>
      <c r="J33" s="336">
        <v>6.2</v>
      </c>
      <c r="K33" s="339">
        <v>6</v>
      </c>
      <c r="L33" s="339">
        <v>6</v>
      </c>
      <c r="M33" s="339">
        <v>6</v>
      </c>
      <c r="N33" s="339">
        <v>8</v>
      </c>
      <c r="O33" s="339">
        <v>8</v>
      </c>
      <c r="P33" s="339"/>
      <c r="Q33" s="339"/>
      <c r="R33" s="339"/>
      <c r="S33" s="339"/>
      <c r="T33" s="339"/>
      <c r="U33" s="336"/>
      <c r="V33" s="367">
        <f t="shared" si="0"/>
        <v>40.2</v>
      </c>
      <c r="W33" s="368">
        <f t="shared" si="1"/>
        <v>44.66666666666667</v>
      </c>
    </row>
    <row r="34" spans="1:23" ht="17.25" thickBot="1">
      <c r="A34" s="311" t="s">
        <v>536</v>
      </c>
      <c r="B34" s="381"/>
      <c r="C34" s="345"/>
      <c r="D34" s="346">
        <v>98</v>
      </c>
      <c r="E34" s="346">
        <v>128</v>
      </c>
      <c r="F34" s="270"/>
      <c r="G34" s="270"/>
      <c r="H34" s="270"/>
      <c r="I34" s="382">
        <v>58</v>
      </c>
      <c r="J34" s="276">
        <f>0.2+1.2</f>
        <v>1.4</v>
      </c>
      <c r="K34" s="271">
        <f>0.1+0.9</f>
        <v>1</v>
      </c>
      <c r="L34" s="271">
        <f>0.4+3.7+1+3</f>
        <v>8.100000000000001</v>
      </c>
      <c r="M34" s="271">
        <v>4</v>
      </c>
      <c r="N34" s="271">
        <v>9</v>
      </c>
      <c r="O34" s="271">
        <v>9</v>
      </c>
      <c r="P34" s="271"/>
      <c r="Q34" s="271"/>
      <c r="R34" s="271"/>
      <c r="S34" s="271"/>
      <c r="T34" s="271"/>
      <c r="U34" s="271"/>
      <c r="V34" s="383">
        <f t="shared" si="0"/>
        <v>32.5</v>
      </c>
      <c r="W34" s="384">
        <f t="shared" si="1"/>
        <v>56.03448275862068</v>
      </c>
    </row>
    <row r="35" spans="1:23" ht="17.25" thickBot="1">
      <c r="A35" s="385" t="s">
        <v>537</v>
      </c>
      <c r="B35" s="379"/>
      <c r="C35" s="386" t="s">
        <v>538</v>
      </c>
      <c r="D35" s="387">
        <v>7508</v>
      </c>
      <c r="E35" s="387">
        <f aca="true" t="shared" si="2" ref="E35:U35">SUM(E25:E34)</f>
        <v>7842</v>
      </c>
      <c r="F35" s="352"/>
      <c r="G35" s="352"/>
      <c r="H35" s="352"/>
      <c r="I35" s="388">
        <f t="shared" si="2"/>
        <v>9150</v>
      </c>
      <c r="J35" s="354">
        <f t="shared" si="2"/>
        <v>590.3000000000001</v>
      </c>
      <c r="K35" s="355">
        <f t="shared" si="2"/>
        <v>604.9</v>
      </c>
      <c r="L35" s="356">
        <f t="shared" si="2"/>
        <v>787.3000000000001</v>
      </c>
      <c r="M35" s="356">
        <f t="shared" si="2"/>
        <v>668</v>
      </c>
      <c r="N35" s="355">
        <f t="shared" si="2"/>
        <v>645</v>
      </c>
      <c r="O35" s="355">
        <f t="shared" si="2"/>
        <v>835</v>
      </c>
      <c r="P35" s="355">
        <f t="shared" si="2"/>
        <v>0</v>
      </c>
      <c r="Q35" s="355">
        <f t="shared" si="2"/>
        <v>0</v>
      </c>
      <c r="R35" s="355">
        <f t="shared" si="2"/>
        <v>0</v>
      </c>
      <c r="S35" s="355">
        <f>SUM(S25:S34)</f>
        <v>0</v>
      </c>
      <c r="T35" s="355">
        <f t="shared" si="2"/>
        <v>0</v>
      </c>
      <c r="U35" s="355">
        <f t="shared" si="2"/>
        <v>0</v>
      </c>
      <c r="V35" s="389">
        <f>SUM(J35:U35)</f>
        <v>4130.5</v>
      </c>
      <c r="W35" s="390">
        <f>+V35/I35*100</f>
        <v>45.142076502732245</v>
      </c>
    </row>
    <row r="36" spans="1:23" ht="16.5">
      <c r="A36" s="332" t="s">
        <v>539</v>
      </c>
      <c r="B36" s="377" t="s">
        <v>540</v>
      </c>
      <c r="C36" s="333" t="s">
        <v>541</v>
      </c>
      <c r="D36" s="334">
        <v>0</v>
      </c>
      <c r="E36" s="334">
        <v>0</v>
      </c>
      <c r="F36" s="273"/>
      <c r="G36" s="273"/>
      <c r="H36" s="273"/>
      <c r="I36" s="378">
        <v>0</v>
      </c>
      <c r="J36" s="336">
        <v>0</v>
      </c>
      <c r="K36" s="339">
        <v>0</v>
      </c>
      <c r="L36" s="339">
        <v>0</v>
      </c>
      <c r="M36" s="339">
        <v>0</v>
      </c>
      <c r="N36" s="339">
        <v>0</v>
      </c>
      <c r="O36" s="339">
        <v>0</v>
      </c>
      <c r="P36" s="339"/>
      <c r="Q36" s="339"/>
      <c r="R36" s="339"/>
      <c r="S36" s="339"/>
      <c r="T36" s="339"/>
      <c r="U36" s="336"/>
      <c r="V36" s="367">
        <f aca="true" t="shared" si="3" ref="V36:V41">SUM(J36:U36)</f>
        <v>0</v>
      </c>
      <c r="W36" s="368" t="e">
        <f aca="true" t="shared" si="4" ref="W36:W41">+V36/I36*100</f>
        <v>#DIV/0!</v>
      </c>
    </row>
    <row r="37" spans="1:23" ht="16.5">
      <c r="A37" s="332" t="s">
        <v>542</v>
      </c>
      <c r="B37" s="380" t="s">
        <v>543</v>
      </c>
      <c r="C37" s="333" t="s">
        <v>544</v>
      </c>
      <c r="D37" s="341">
        <v>716</v>
      </c>
      <c r="E37" s="341">
        <v>715</v>
      </c>
      <c r="F37" s="275"/>
      <c r="G37" s="275"/>
      <c r="H37" s="275"/>
      <c r="I37" s="366">
        <v>500</v>
      </c>
      <c r="J37" s="336">
        <v>61</v>
      </c>
      <c r="K37" s="339">
        <v>57.2</v>
      </c>
      <c r="L37" s="339">
        <v>51</v>
      </c>
      <c r="M37" s="339">
        <v>40</v>
      </c>
      <c r="N37" s="339">
        <v>39</v>
      </c>
      <c r="O37" s="339">
        <v>42</v>
      </c>
      <c r="P37" s="339"/>
      <c r="Q37" s="339"/>
      <c r="R37" s="339"/>
      <c r="S37" s="339"/>
      <c r="T37" s="339"/>
      <c r="U37" s="336"/>
      <c r="V37" s="367">
        <f t="shared" si="3"/>
        <v>290.2</v>
      </c>
      <c r="W37" s="368">
        <f t="shared" si="4"/>
        <v>58.040000000000006</v>
      </c>
    </row>
    <row r="38" spans="1:23" ht="16.5">
      <c r="A38" s="332" t="s">
        <v>545</v>
      </c>
      <c r="B38" s="379" t="s">
        <v>546</v>
      </c>
      <c r="C38" s="333" t="s">
        <v>547</v>
      </c>
      <c r="D38" s="341">
        <v>26</v>
      </c>
      <c r="E38" s="341">
        <v>32</v>
      </c>
      <c r="F38" s="275"/>
      <c r="G38" s="275"/>
      <c r="H38" s="275"/>
      <c r="I38" s="366">
        <v>0</v>
      </c>
      <c r="J38" s="336">
        <v>0</v>
      </c>
      <c r="K38" s="339">
        <v>0</v>
      </c>
      <c r="L38" s="339">
        <v>0</v>
      </c>
      <c r="M38" s="339">
        <v>0</v>
      </c>
      <c r="N38" s="339">
        <v>0</v>
      </c>
      <c r="O38" s="339">
        <v>0</v>
      </c>
      <c r="P38" s="339"/>
      <c r="Q38" s="339"/>
      <c r="R38" s="339"/>
      <c r="S38" s="339"/>
      <c r="T38" s="339"/>
      <c r="U38" s="336"/>
      <c r="V38" s="367">
        <f t="shared" si="3"/>
        <v>0</v>
      </c>
      <c r="W38" s="368" t="e">
        <f t="shared" si="4"/>
        <v>#DIV/0!</v>
      </c>
    </row>
    <row r="39" spans="1:23" ht="16.5">
      <c r="A39" s="332" t="s">
        <v>548</v>
      </c>
      <c r="B39" s="391"/>
      <c r="C39" s="333" t="s">
        <v>549</v>
      </c>
      <c r="D39" s="341">
        <v>6805</v>
      </c>
      <c r="E39" s="341">
        <v>6979</v>
      </c>
      <c r="F39" s="275"/>
      <c r="G39" s="275"/>
      <c r="H39" s="275"/>
      <c r="I39" s="366">
        <v>8600</v>
      </c>
      <c r="J39" s="336">
        <v>714</v>
      </c>
      <c r="K39" s="339">
        <v>584</v>
      </c>
      <c r="L39" s="339">
        <v>874</v>
      </c>
      <c r="M39" s="339">
        <v>568</v>
      </c>
      <c r="N39" s="339">
        <v>1790</v>
      </c>
      <c r="O39" s="339">
        <v>16</v>
      </c>
      <c r="P39" s="339"/>
      <c r="Q39" s="339"/>
      <c r="R39" s="339"/>
      <c r="S39" s="339"/>
      <c r="T39" s="339"/>
      <c r="U39" s="336"/>
      <c r="V39" s="367">
        <f>SUM(J39:U39)</f>
        <v>4546</v>
      </c>
      <c r="W39" s="368">
        <f t="shared" si="4"/>
        <v>52.860465116279066</v>
      </c>
    </row>
    <row r="40" spans="1:23" ht="17.25" thickBot="1">
      <c r="A40" s="311" t="s">
        <v>550</v>
      </c>
      <c r="B40" s="392"/>
      <c r="C40" s="393"/>
      <c r="D40" s="346">
        <v>25</v>
      </c>
      <c r="E40" s="346">
        <v>406</v>
      </c>
      <c r="F40" s="270"/>
      <c r="G40" s="270"/>
      <c r="H40" s="270"/>
      <c r="I40" s="378">
        <v>50</v>
      </c>
      <c r="J40" s="276">
        <f>16.1</f>
        <v>16.1</v>
      </c>
      <c r="K40" s="271">
        <v>54.5</v>
      </c>
      <c r="L40" s="271">
        <v>29</v>
      </c>
      <c r="M40" s="271">
        <v>28</v>
      </c>
      <c r="N40" s="271">
        <v>9</v>
      </c>
      <c r="O40" s="271">
        <v>1</v>
      </c>
      <c r="P40" s="271"/>
      <c r="Q40" s="271"/>
      <c r="R40" s="271"/>
      <c r="S40" s="271"/>
      <c r="T40" s="271"/>
      <c r="U40" s="271"/>
      <c r="V40" s="367">
        <f>SUM(J40:U40)</f>
        <v>137.6</v>
      </c>
      <c r="W40" s="368">
        <f t="shared" si="4"/>
        <v>275.2</v>
      </c>
    </row>
    <row r="41" spans="1:23" ht="17.25" thickBot="1">
      <c r="A41" s="385" t="s">
        <v>551</v>
      </c>
      <c r="B41" s="394"/>
      <c r="C41" s="386" t="s">
        <v>552</v>
      </c>
      <c r="D41" s="387">
        <f aca="true" t="shared" si="5" ref="D41:U41">SUM(D36:D40)</f>
        <v>7572</v>
      </c>
      <c r="E41" s="387">
        <f t="shared" si="5"/>
        <v>8132</v>
      </c>
      <c r="F41" s="352"/>
      <c r="G41" s="352"/>
      <c r="H41" s="352"/>
      <c r="I41" s="388">
        <f t="shared" si="5"/>
        <v>9150</v>
      </c>
      <c r="J41" s="354">
        <f t="shared" si="5"/>
        <v>791.1</v>
      </c>
      <c r="K41" s="355">
        <f t="shared" si="5"/>
        <v>695.7</v>
      </c>
      <c r="L41" s="356">
        <f t="shared" si="5"/>
        <v>954</v>
      </c>
      <c r="M41" s="356">
        <f t="shared" si="5"/>
        <v>636</v>
      </c>
      <c r="N41" s="355">
        <f t="shared" si="5"/>
        <v>1838</v>
      </c>
      <c r="O41" s="355">
        <f t="shared" si="5"/>
        <v>59</v>
      </c>
      <c r="P41" s="355">
        <f t="shared" si="5"/>
        <v>0</v>
      </c>
      <c r="Q41" s="355">
        <f t="shared" si="5"/>
        <v>0</v>
      </c>
      <c r="R41" s="355">
        <f t="shared" si="5"/>
        <v>0</v>
      </c>
      <c r="S41" s="355">
        <f t="shared" si="5"/>
        <v>0</v>
      </c>
      <c r="T41" s="355">
        <f t="shared" si="5"/>
        <v>0</v>
      </c>
      <c r="U41" s="355">
        <f t="shared" si="5"/>
        <v>0</v>
      </c>
      <c r="V41" s="389">
        <f t="shared" si="3"/>
        <v>4973.8</v>
      </c>
      <c r="W41" s="390">
        <f t="shared" si="4"/>
        <v>54.35846994535519</v>
      </c>
    </row>
    <row r="42" spans="1:23" ht="6.75" customHeight="1" thickBot="1">
      <c r="A42" s="311"/>
      <c r="B42" s="349"/>
      <c r="C42" s="393"/>
      <c r="D42" s="346"/>
      <c r="E42" s="346"/>
      <c r="F42" s="277"/>
      <c r="G42" s="277"/>
      <c r="H42" s="277"/>
      <c r="I42" s="395"/>
      <c r="J42" s="347"/>
      <c r="K42" s="271"/>
      <c r="L42" s="317"/>
      <c r="M42" s="317"/>
      <c r="N42" s="271"/>
      <c r="O42" s="271"/>
      <c r="P42" s="271"/>
      <c r="Q42" s="271"/>
      <c r="R42" s="271"/>
      <c r="S42" s="271"/>
      <c r="T42" s="271"/>
      <c r="U42" s="396"/>
      <c r="V42" s="383"/>
      <c r="W42" s="384"/>
    </row>
    <row r="43" spans="1:23" ht="17.25" thickBot="1">
      <c r="A43" s="397" t="s">
        <v>553</v>
      </c>
      <c r="B43" s="398"/>
      <c r="C43" s="399"/>
      <c r="D43" s="387">
        <f>+D41-D39</f>
        <v>767</v>
      </c>
      <c r="E43" s="387">
        <f>+E41-E39</f>
        <v>1153</v>
      </c>
      <c r="F43" s="352"/>
      <c r="G43" s="352"/>
      <c r="H43" s="352"/>
      <c r="I43" s="388">
        <f aca="true" t="shared" si="6" ref="I43:U43">I36+I37+I38+I40</f>
        <v>550</v>
      </c>
      <c r="J43" s="354">
        <f t="shared" si="6"/>
        <v>77.1</v>
      </c>
      <c r="K43" s="355">
        <f t="shared" si="6"/>
        <v>111.7</v>
      </c>
      <c r="L43" s="355">
        <f t="shared" si="6"/>
        <v>80</v>
      </c>
      <c r="M43" s="355">
        <f t="shared" si="6"/>
        <v>68</v>
      </c>
      <c r="N43" s="355">
        <f t="shared" si="6"/>
        <v>48</v>
      </c>
      <c r="O43" s="355">
        <f t="shared" si="6"/>
        <v>43</v>
      </c>
      <c r="P43" s="355">
        <f t="shared" si="6"/>
        <v>0</v>
      </c>
      <c r="Q43" s="355">
        <f t="shared" si="6"/>
        <v>0</v>
      </c>
      <c r="R43" s="355">
        <f t="shared" si="6"/>
        <v>0</v>
      </c>
      <c r="S43" s="355">
        <f t="shared" si="6"/>
        <v>0</v>
      </c>
      <c r="T43" s="355">
        <f t="shared" si="6"/>
        <v>0</v>
      </c>
      <c r="U43" s="388">
        <f t="shared" si="6"/>
        <v>0</v>
      </c>
      <c r="V43" s="389">
        <f>SUM(J43:U43)</f>
        <v>427.8</v>
      </c>
      <c r="W43" s="390">
        <f>+V43/I43*100</f>
        <v>77.78181818181818</v>
      </c>
    </row>
    <row r="44" spans="1:23" ht="17.25" thickBot="1">
      <c r="A44" s="385" t="s">
        <v>554</v>
      </c>
      <c r="B44" s="398"/>
      <c r="C44" s="386" t="s">
        <v>555</v>
      </c>
      <c r="D44" s="387">
        <f>+D41-D35</f>
        <v>64</v>
      </c>
      <c r="E44" s="387">
        <f>+E41-E35</f>
        <v>290</v>
      </c>
      <c r="F44" s="352"/>
      <c r="G44" s="352"/>
      <c r="H44" s="352"/>
      <c r="I44" s="388">
        <v>0</v>
      </c>
      <c r="J44" s="354">
        <f aca="true" t="shared" si="7" ref="J44:U44">J41-J35</f>
        <v>200.79999999999995</v>
      </c>
      <c r="K44" s="355">
        <f t="shared" si="7"/>
        <v>90.80000000000007</v>
      </c>
      <c r="L44" s="355">
        <f t="shared" si="7"/>
        <v>166.69999999999993</v>
      </c>
      <c r="M44" s="355">
        <f t="shared" si="7"/>
        <v>-32</v>
      </c>
      <c r="N44" s="355">
        <f t="shared" si="7"/>
        <v>1193</v>
      </c>
      <c r="O44" s="355">
        <f t="shared" si="7"/>
        <v>-776</v>
      </c>
      <c r="P44" s="355">
        <f t="shared" si="7"/>
        <v>0</v>
      </c>
      <c r="Q44" s="355">
        <f t="shared" si="7"/>
        <v>0</v>
      </c>
      <c r="R44" s="355">
        <f t="shared" si="7"/>
        <v>0</v>
      </c>
      <c r="S44" s="355">
        <f t="shared" si="7"/>
        <v>0</v>
      </c>
      <c r="T44" s="355">
        <f t="shared" si="7"/>
        <v>0</v>
      </c>
      <c r="U44" s="356">
        <f t="shared" si="7"/>
        <v>0</v>
      </c>
      <c r="V44" s="389">
        <f>SUM(J44:U44)</f>
        <v>843.3</v>
      </c>
      <c r="W44" s="390" t="e">
        <f>+V44/I44*100</f>
        <v>#DIV/0!</v>
      </c>
    </row>
    <row r="45" spans="1:23" ht="17.25" thickBot="1">
      <c r="A45" s="397" t="s">
        <v>556</v>
      </c>
      <c r="B45" s="398"/>
      <c r="C45" s="400"/>
      <c r="D45" s="401">
        <f>+D44-D39</f>
        <v>-6741</v>
      </c>
      <c r="E45" s="401">
        <f>+E44-E39</f>
        <v>-6689</v>
      </c>
      <c r="F45" s="352"/>
      <c r="G45" s="352"/>
      <c r="H45" s="352"/>
      <c r="I45" s="388">
        <f aca="true" t="shared" si="8" ref="I45:U45">I44-I39</f>
        <v>-8600</v>
      </c>
      <c r="J45" s="402">
        <f t="shared" si="8"/>
        <v>-513.2</v>
      </c>
      <c r="K45" s="355">
        <f t="shared" si="8"/>
        <v>-493.19999999999993</v>
      </c>
      <c r="L45" s="355">
        <f t="shared" si="8"/>
        <v>-707.3000000000001</v>
      </c>
      <c r="M45" s="355">
        <f t="shared" si="8"/>
        <v>-600</v>
      </c>
      <c r="N45" s="355">
        <f t="shared" si="8"/>
        <v>-597</v>
      </c>
      <c r="O45" s="355">
        <f t="shared" si="8"/>
        <v>-792</v>
      </c>
      <c r="P45" s="355">
        <f t="shared" si="8"/>
        <v>0</v>
      </c>
      <c r="Q45" s="355">
        <f t="shared" si="8"/>
        <v>0</v>
      </c>
      <c r="R45" s="355">
        <f t="shared" si="8"/>
        <v>0</v>
      </c>
      <c r="S45" s="355">
        <f t="shared" si="8"/>
        <v>0</v>
      </c>
      <c r="T45" s="355">
        <f t="shared" si="8"/>
        <v>0</v>
      </c>
      <c r="U45" s="388">
        <f t="shared" si="8"/>
        <v>0</v>
      </c>
      <c r="V45" s="389">
        <f>SUM(J45:U45)</f>
        <v>-3702.7</v>
      </c>
      <c r="W45" s="390">
        <f>+V45/I45*100</f>
        <v>43.0546511627907</v>
      </c>
    </row>
  </sheetData>
  <sheetProtection/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hosek</cp:lastModifiedBy>
  <cp:lastPrinted>2010-07-21T12:41:13Z</cp:lastPrinted>
  <dcterms:created xsi:type="dcterms:W3CDTF">2010-07-15T10:29:07Z</dcterms:created>
  <dcterms:modified xsi:type="dcterms:W3CDTF">2010-08-09T07:31:24Z</dcterms:modified>
  <cp:category/>
  <cp:version/>
  <cp:contentType/>
  <cp:contentStatus/>
</cp:coreProperties>
</file>